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BWS00DFSV03.ps.gf\homes$\GFP01327\Documents\Foundations\Pensionskasse Georg Fischer\Diverses, Berechnungen\"/>
    </mc:Choice>
  </mc:AlternateContent>
  <bookViews>
    <workbookView xWindow="270" yWindow="30" windowWidth="10155" windowHeight="11550"/>
  </bookViews>
  <sheets>
    <sheet name="Daten Versicherter" sheetId="2" r:id="rId1"/>
    <sheet name="Beitragstabelle neu" sheetId="1" state="hidden" r:id="rId2"/>
    <sheet name=" Beitragstabelle alt nur 2020 v" sheetId="3" state="hidden" r:id="rId3"/>
  </sheets>
  <externalReferences>
    <externalReference r:id="rId4"/>
  </externalReferences>
  <definedNames>
    <definedName name="_xlnm.Print_Area" localSheetId="0">'Daten Versicherter'!$A$1:$D$37</definedName>
    <definedName name="Liste_Plaine" localSheetId="2">'[1]Daten Versicherter'!$A$53:$A$55</definedName>
    <definedName name="Liste_Plaine">'Daten Versicherter'!$A$56:$A$58</definedName>
    <definedName name="Standard" comment="Liste_plaene">'Daten Versicherter'!$A$56:$A$58</definedName>
  </definedNames>
  <calcPr calcId="162913"/>
</workbook>
</file>

<file path=xl/calcChain.xml><?xml version="1.0" encoding="utf-8"?>
<calcChain xmlns="http://schemas.openxmlformats.org/spreadsheetml/2006/main">
  <c r="B61" i="3" l="1"/>
  <c r="W59" i="3" l="1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22" i="3"/>
  <c r="D80" i="2"/>
  <c r="D77" i="2"/>
  <c r="B76" i="2"/>
  <c r="D43" i="2"/>
  <c r="D46" i="2"/>
  <c r="D76" i="2"/>
  <c r="J2" i="3"/>
  <c r="S2" i="3"/>
  <c r="R6" i="3" s="1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2" i="3"/>
  <c r="G32" i="3"/>
  <c r="H32" i="3"/>
  <c r="F33" i="3"/>
  <c r="G33" i="3"/>
  <c r="H33" i="3"/>
  <c r="F34" i="3"/>
  <c r="G34" i="3"/>
  <c r="H34" i="3"/>
  <c r="F35" i="3"/>
  <c r="G35" i="3"/>
  <c r="H35" i="3"/>
  <c r="F36" i="3"/>
  <c r="G36" i="3"/>
  <c r="H36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49" i="3"/>
  <c r="G49" i="3"/>
  <c r="H49" i="3"/>
  <c r="R49" i="3"/>
  <c r="F50" i="3"/>
  <c r="G50" i="3"/>
  <c r="H50" i="3"/>
  <c r="R50" i="3"/>
  <c r="F51" i="3"/>
  <c r="G51" i="3"/>
  <c r="H51" i="3"/>
  <c r="F52" i="3"/>
  <c r="G52" i="3"/>
  <c r="H52" i="3"/>
  <c r="F53" i="3"/>
  <c r="G53" i="3"/>
  <c r="H53" i="3"/>
  <c r="F54" i="3"/>
  <c r="G54" i="3"/>
  <c r="H54" i="3"/>
  <c r="D55" i="3"/>
  <c r="F55" i="3"/>
  <c r="G55" i="3"/>
  <c r="H55" i="3"/>
  <c r="B56" i="3"/>
  <c r="F56" i="3" s="1"/>
  <c r="C56" i="3"/>
  <c r="D56" i="3"/>
  <c r="G56" i="3"/>
  <c r="R56" i="3"/>
  <c r="C57" i="3"/>
  <c r="R55" i="3" l="1"/>
  <c r="R37" i="3"/>
  <c r="R24" i="3"/>
  <c r="R23" i="3"/>
  <c r="R16" i="3"/>
  <c r="R53" i="3"/>
  <c r="R46" i="3"/>
  <c r="R45" i="3"/>
  <c r="R32" i="3"/>
  <c r="R31" i="3"/>
  <c r="R26" i="3"/>
  <c r="R12" i="3"/>
  <c r="R29" i="3"/>
  <c r="R54" i="3"/>
  <c r="R41" i="3"/>
  <c r="R40" i="3"/>
  <c r="R34" i="3"/>
  <c r="R20" i="3"/>
  <c r="R19" i="3"/>
  <c r="R10" i="3"/>
  <c r="R9" i="3"/>
  <c r="R7" i="3"/>
  <c r="R15" i="3"/>
  <c r="R13" i="3"/>
  <c r="R51" i="3"/>
  <c r="R47" i="3"/>
  <c r="R43" i="3"/>
  <c r="R42" i="3"/>
  <c r="R38" i="3"/>
  <c r="R35" i="3"/>
  <c r="R30" i="3"/>
  <c r="R27" i="3"/>
  <c r="R21" i="3"/>
  <c r="R17" i="3"/>
  <c r="R14" i="3"/>
  <c r="R52" i="3"/>
  <c r="R48" i="3"/>
  <c r="R44" i="3"/>
  <c r="R39" i="3"/>
  <c r="R36" i="3"/>
  <c r="R33" i="3"/>
  <c r="R28" i="3"/>
  <c r="R25" i="3"/>
  <c r="R22" i="3"/>
  <c r="R18" i="3"/>
  <c r="R11" i="3"/>
  <c r="R8" i="3"/>
  <c r="D57" i="3"/>
  <c r="H56" i="3"/>
  <c r="R57" i="3"/>
  <c r="C58" i="3"/>
  <c r="G57" i="3"/>
  <c r="B57" i="3"/>
  <c r="C59" i="3" l="1"/>
  <c r="G58" i="3"/>
  <c r="F57" i="3"/>
  <c r="B58" i="3"/>
  <c r="D58" i="3"/>
  <c r="H57" i="3"/>
  <c r="G59" i="3" l="1"/>
  <c r="R59" i="3"/>
  <c r="H58" i="3"/>
  <c r="D59" i="3"/>
  <c r="H59" i="3" s="1"/>
  <c r="R58" i="3"/>
  <c r="B59" i="3"/>
  <c r="F59" i="3" s="1"/>
  <c r="F58" i="3"/>
  <c r="B6" i="2" l="1"/>
  <c r="J3" i="3" s="1"/>
  <c r="S3" i="3" s="1"/>
  <c r="S14" i="3" l="1"/>
  <c r="S22" i="3"/>
  <c r="W22" i="3" s="1"/>
  <c r="S30" i="3"/>
  <c r="S38" i="3"/>
  <c r="S29" i="3"/>
  <c r="S44" i="3"/>
  <c r="S52" i="3"/>
  <c r="S21" i="3"/>
  <c r="S35" i="3"/>
  <c r="S33" i="3"/>
  <c r="S47" i="3"/>
  <c r="S58" i="3"/>
  <c r="S59" i="3"/>
  <c r="S55" i="3"/>
  <c r="S20" i="3"/>
  <c r="S50" i="3"/>
  <c r="S57" i="3"/>
  <c r="S45" i="3"/>
  <c r="S53" i="3"/>
  <c r="S8" i="3"/>
  <c r="S16" i="3"/>
  <c r="S24" i="3"/>
  <c r="S32" i="3"/>
  <c r="S7" i="3"/>
  <c r="S37" i="3"/>
  <c r="S46" i="3"/>
  <c r="S54" i="3"/>
  <c r="S9" i="3"/>
  <c r="S11" i="3"/>
  <c r="S41" i="3"/>
  <c r="S49" i="3"/>
  <c r="S13" i="3"/>
  <c r="S28" i="3"/>
  <c r="S23" i="3"/>
  <c r="S25" i="3"/>
  <c r="S6" i="3"/>
  <c r="S10" i="3"/>
  <c r="S18" i="3"/>
  <c r="S26" i="3"/>
  <c r="S34" i="3"/>
  <c r="S15" i="3"/>
  <c r="S40" i="3"/>
  <c r="S48" i="3"/>
  <c r="S56" i="3"/>
  <c r="S17" i="3"/>
  <c r="S19" i="3"/>
  <c r="S43" i="3"/>
  <c r="S51" i="3"/>
  <c r="S31" i="3"/>
  <c r="S12" i="3"/>
  <c r="S36" i="3"/>
  <c r="S42" i="3"/>
  <c r="S27" i="3"/>
  <c r="S39" i="3"/>
  <c r="B69" i="2"/>
  <c r="B70" i="2" s="1"/>
  <c r="B71" i="2" s="1"/>
  <c r="B72" i="2" s="1"/>
  <c r="B73" i="2" s="1"/>
  <c r="B67" i="2"/>
  <c r="B66" i="2" s="1"/>
  <c r="B65" i="2" s="1"/>
  <c r="B64" i="2" s="1"/>
  <c r="B63" i="2" s="1"/>
  <c r="B62" i="2" s="1"/>
  <c r="B61" i="2" s="1"/>
  <c r="D78" i="2" l="1"/>
  <c r="D79" i="2" s="1"/>
  <c r="D82" i="2" s="1"/>
  <c r="T43" i="3" s="1"/>
  <c r="S2" i="1"/>
  <c r="J2" i="1"/>
  <c r="B51" i="2"/>
  <c r="B52" i="2" s="1"/>
  <c r="B61" i="1"/>
  <c r="T29" i="3" l="1"/>
  <c r="T27" i="3"/>
  <c r="T7" i="3"/>
  <c r="T55" i="3"/>
  <c r="T47" i="3"/>
  <c r="X22" i="3"/>
  <c r="T37" i="3"/>
  <c r="T15" i="3"/>
  <c r="T52" i="3"/>
  <c r="T26" i="3"/>
  <c r="T58" i="3"/>
  <c r="T9" i="3"/>
  <c r="T42" i="3"/>
  <c r="T45" i="3"/>
  <c r="T23" i="3"/>
  <c r="T12" i="3"/>
  <c r="T53" i="3"/>
  <c r="B17" i="2"/>
  <c r="X59" i="3"/>
  <c r="X51" i="3"/>
  <c r="X45" i="3"/>
  <c r="X37" i="3"/>
  <c r="X30" i="3"/>
  <c r="X23" i="3"/>
  <c r="X10" i="3"/>
  <c r="V58" i="3"/>
  <c r="V53" i="3"/>
  <c r="V47" i="3"/>
  <c r="V42" i="3"/>
  <c r="V37" i="3"/>
  <c r="V31" i="3"/>
  <c r="V26" i="3"/>
  <c r="V21" i="3"/>
  <c r="V17" i="3"/>
  <c r="V13" i="3"/>
  <c r="V9" i="3"/>
  <c r="X25" i="3"/>
  <c r="V18" i="3"/>
  <c r="V6" i="3"/>
  <c r="X57" i="3"/>
  <c r="X49" i="3"/>
  <c r="X43" i="3"/>
  <c r="X35" i="3"/>
  <c r="X29" i="3"/>
  <c r="X20" i="3"/>
  <c r="X8" i="3"/>
  <c r="V57" i="3"/>
  <c r="V51" i="3"/>
  <c r="V46" i="3"/>
  <c r="V41" i="3"/>
  <c r="V35" i="3"/>
  <c r="V30" i="3"/>
  <c r="V25" i="3"/>
  <c r="V20" i="3"/>
  <c r="V16" i="3"/>
  <c r="V12" i="3"/>
  <c r="V8" i="3"/>
  <c r="X46" i="3"/>
  <c r="X31" i="3"/>
  <c r="V59" i="3"/>
  <c r="V54" i="3"/>
  <c r="V43" i="3"/>
  <c r="V33" i="3"/>
  <c r="V22" i="3"/>
  <c r="V10" i="3"/>
  <c r="X55" i="3"/>
  <c r="X47" i="3"/>
  <c r="X41" i="3"/>
  <c r="X33" i="3"/>
  <c r="X27" i="3"/>
  <c r="X18" i="3"/>
  <c r="X6" i="3"/>
  <c r="V55" i="3"/>
  <c r="V50" i="3"/>
  <c r="V45" i="3"/>
  <c r="V39" i="3"/>
  <c r="V34" i="3"/>
  <c r="V29" i="3"/>
  <c r="V23" i="3"/>
  <c r="V19" i="3"/>
  <c r="V15" i="3"/>
  <c r="V11" i="3"/>
  <c r="V7" i="3"/>
  <c r="X53" i="3"/>
  <c r="X39" i="3"/>
  <c r="X14" i="3"/>
  <c r="V49" i="3"/>
  <c r="V38" i="3"/>
  <c r="V27" i="3"/>
  <c r="V14" i="3"/>
  <c r="X12" i="3"/>
  <c r="X21" i="3"/>
  <c r="X42" i="3"/>
  <c r="X16" i="3"/>
  <c r="V36" i="3"/>
  <c r="V52" i="3"/>
  <c r="X15" i="3"/>
  <c r="X32" i="3"/>
  <c r="X48" i="3"/>
  <c r="X19" i="3"/>
  <c r="X17" i="3"/>
  <c r="V32" i="3"/>
  <c r="X44" i="3"/>
  <c r="X9" i="3"/>
  <c r="X26" i="3"/>
  <c r="X50" i="3"/>
  <c r="V24" i="3"/>
  <c r="V40" i="3"/>
  <c r="V56" i="3"/>
  <c r="X36" i="3"/>
  <c r="X52" i="3"/>
  <c r="X38" i="3"/>
  <c r="V48" i="3"/>
  <c r="X28" i="3"/>
  <c r="X13" i="3"/>
  <c r="X34" i="3"/>
  <c r="X54" i="3"/>
  <c r="V28" i="3"/>
  <c r="V44" i="3"/>
  <c r="X7" i="3"/>
  <c r="X24" i="3"/>
  <c r="X40" i="3"/>
  <c r="X56" i="3"/>
  <c r="X58" i="3"/>
  <c r="X11" i="3"/>
  <c r="T10" i="3"/>
  <c r="T21" i="3"/>
  <c r="T22" i="3"/>
  <c r="T11" i="3"/>
  <c r="T20" i="3"/>
  <c r="T50" i="3"/>
  <c r="T44" i="3"/>
  <c r="T24" i="3"/>
  <c r="T39" i="3"/>
  <c r="T54" i="3"/>
  <c r="T6" i="3"/>
  <c r="T16" i="3"/>
  <c r="T49" i="3"/>
  <c r="T56" i="3"/>
  <c r="T41" i="3"/>
  <c r="T19" i="3"/>
  <c r="T48" i="3"/>
  <c r="T35" i="3"/>
  <c r="T59" i="3"/>
  <c r="T17" i="3"/>
  <c r="T36" i="3"/>
  <c r="T13" i="3"/>
  <c r="T18" i="3"/>
  <c r="T14" i="3"/>
  <c r="T57" i="3"/>
  <c r="T28" i="3"/>
  <c r="T31" i="3"/>
  <c r="T32" i="3"/>
  <c r="T38" i="3"/>
  <c r="T8" i="3"/>
  <c r="T34" i="3"/>
  <c r="T33" i="3"/>
  <c r="T46" i="3"/>
  <c r="T40" i="3"/>
  <c r="T30" i="3"/>
  <c r="T25" i="3"/>
  <c r="T51" i="3"/>
  <c r="R14" i="1"/>
  <c r="R30" i="1"/>
  <c r="R46" i="1"/>
  <c r="R50" i="1"/>
  <c r="R18" i="1"/>
  <c r="R34" i="1"/>
  <c r="R6" i="1"/>
  <c r="R22" i="1"/>
  <c r="R38" i="1"/>
  <c r="R54" i="1"/>
  <c r="R10" i="1"/>
  <c r="R26" i="1"/>
  <c r="R42" i="1"/>
  <c r="R7" i="1"/>
  <c r="R11" i="1"/>
  <c r="R15" i="1"/>
  <c r="R19" i="1"/>
  <c r="R23" i="1"/>
  <c r="R27" i="1"/>
  <c r="R31" i="1"/>
  <c r="R35" i="1"/>
  <c r="R39" i="1"/>
  <c r="R43" i="1"/>
  <c r="R47" i="1"/>
  <c r="R51" i="1"/>
  <c r="R8" i="1"/>
  <c r="R12" i="1"/>
  <c r="R16" i="1"/>
  <c r="R20" i="1"/>
  <c r="R24" i="1"/>
  <c r="R28" i="1"/>
  <c r="R32" i="1"/>
  <c r="R36" i="1"/>
  <c r="R40" i="1"/>
  <c r="R44" i="1"/>
  <c r="R48" i="1"/>
  <c r="R52" i="1"/>
  <c r="R9" i="1"/>
  <c r="R13" i="1"/>
  <c r="R17" i="1"/>
  <c r="R21" i="1"/>
  <c r="R25" i="1"/>
  <c r="R29" i="1"/>
  <c r="R33" i="1"/>
  <c r="R37" i="1"/>
  <c r="R41" i="1"/>
  <c r="R45" i="1"/>
  <c r="R49" i="1"/>
  <c r="R53" i="1"/>
  <c r="B33" i="2"/>
  <c r="V63" i="3" l="1"/>
  <c r="X63" i="3"/>
  <c r="B27" i="2"/>
  <c r="T63" i="3"/>
  <c r="N6" i="1"/>
  <c r="M8" i="1"/>
  <c r="H8" i="1"/>
  <c r="G8" i="1"/>
  <c r="F8" i="1"/>
  <c r="M7" i="1"/>
  <c r="H7" i="1"/>
  <c r="G7" i="1"/>
  <c r="F7" i="1"/>
  <c r="M6" i="1"/>
  <c r="H6" i="1"/>
  <c r="G6" i="1"/>
  <c r="F6" i="1"/>
  <c r="M59" i="1" l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I6" i="1" l="1"/>
  <c r="I7" i="1"/>
  <c r="I8" i="1"/>
  <c r="I11" i="1"/>
  <c r="I19" i="1"/>
  <c r="I27" i="1"/>
  <c r="I35" i="1"/>
  <c r="I43" i="1"/>
  <c r="I51" i="1"/>
  <c r="I13" i="1"/>
  <c r="I21" i="1"/>
  <c r="I29" i="1"/>
  <c r="I37" i="1"/>
  <c r="I45" i="1"/>
  <c r="I15" i="1"/>
  <c r="I23" i="1"/>
  <c r="I31" i="1"/>
  <c r="I39" i="1"/>
  <c r="I47" i="1"/>
  <c r="I9" i="1"/>
  <c r="I17" i="1"/>
  <c r="I25" i="1"/>
  <c r="I33" i="1"/>
  <c r="I41" i="1"/>
  <c r="I49" i="1"/>
  <c r="I12" i="1"/>
  <c r="I16" i="1"/>
  <c r="I20" i="1"/>
  <c r="I24" i="1"/>
  <c r="I28" i="1"/>
  <c r="I32" i="1"/>
  <c r="I36" i="1"/>
  <c r="I40" i="1"/>
  <c r="I44" i="1"/>
  <c r="I48" i="1"/>
  <c r="I52" i="1"/>
  <c r="I10" i="1"/>
  <c r="I14" i="1"/>
  <c r="I18" i="1"/>
  <c r="I22" i="1"/>
  <c r="I26" i="1"/>
  <c r="I30" i="1"/>
  <c r="I34" i="1"/>
  <c r="I38" i="1"/>
  <c r="I42" i="1"/>
  <c r="I46" i="1"/>
  <c r="I50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C10" i="2"/>
  <c r="C9" i="2"/>
  <c r="C11" i="2" s="1"/>
  <c r="G54" i="1"/>
  <c r="G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B14" i="2" l="1"/>
  <c r="B42" i="2"/>
  <c r="D42" i="2" s="1"/>
  <c r="D44" i="2" s="1"/>
  <c r="D45" i="2" s="1"/>
  <c r="D48" i="2" s="1"/>
  <c r="B20" i="2"/>
  <c r="B21" i="2"/>
  <c r="B23" i="2"/>
  <c r="B22" i="2"/>
  <c r="J3" i="1"/>
  <c r="S3" i="1" s="1"/>
  <c r="S59" i="1" l="1"/>
  <c r="S55" i="1"/>
  <c r="S51" i="1"/>
  <c r="S47" i="1"/>
  <c r="S43" i="1"/>
  <c r="S39" i="1"/>
  <c r="S35" i="1"/>
  <c r="S31" i="1"/>
  <c r="S27" i="1"/>
  <c r="S23" i="1"/>
  <c r="S19" i="1"/>
  <c r="S15" i="1"/>
  <c r="S10" i="1"/>
  <c r="S6" i="1"/>
  <c r="S58" i="1"/>
  <c r="S54" i="1"/>
  <c r="S50" i="1"/>
  <c r="S46" i="1"/>
  <c r="S42" i="1"/>
  <c r="S38" i="1"/>
  <c r="S34" i="1"/>
  <c r="S30" i="1"/>
  <c r="S26" i="1"/>
  <c r="S22" i="1"/>
  <c r="S18" i="1"/>
  <c r="S13" i="1"/>
  <c r="S9" i="1"/>
  <c r="S14" i="1"/>
  <c r="S57" i="1"/>
  <c r="S53" i="1"/>
  <c r="S49" i="1"/>
  <c r="S45" i="1"/>
  <c r="S41" i="1"/>
  <c r="S37" i="1"/>
  <c r="S33" i="1"/>
  <c r="S29" i="1"/>
  <c r="S25" i="1"/>
  <c r="S21" i="1"/>
  <c r="S17" i="1"/>
  <c r="S12" i="1"/>
  <c r="S8" i="1"/>
  <c r="S48" i="1"/>
  <c r="S32" i="1"/>
  <c r="S16" i="1"/>
  <c r="S44" i="1"/>
  <c r="S28" i="1"/>
  <c r="S11" i="1"/>
  <c r="S56" i="1"/>
  <c r="S40" i="1"/>
  <c r="S24" i="1"/>
  <c r="S7" i="1"/>
  <c r="S52" i="1"/>
  <c r="S36" i="1"/>
  <c r="S20" i="1"/>
  <c r="B16" i="2"/>
  <c r="J27" i="1"/>
  <c r="L7" i="1"/>
  <c r="L6" i="1"/>
  <c r="N7" i="1" s="1"/>
  <c r="L8" i="1"/>
  <c r="J7" i="1"/>
  <c r="J8" i="1"/>
  <c r="J6" i="1"/>
  <c r="J52" i="1"/>
  <c r="J48" i="1"/>
  <c r="J44" i="1"/>
  <c r="J17" i="1"/>
  <c r="J38" i="1"/>
  <c r="J20" i="1"/>
  <c r="J32" i="1"/>
  <c r="J28" i="1"/>
  <c r="J41" i="1"/>
  <c r="J35" i="1"/>
  <c r="J47" i="1"/>
  <c r="J24" i="1"/>
  <c r="J34" i="1"/>
  <c r="J25" i="1"/>
  <c r="J21" i="1"/>
  <c r="J33" i="1"/>
  <c r="J45" i="1"/>
  <c r="J18" i="1"/>
  <c r="J39" i="1"/>
  <c r="J30" i="1"/>
  <c r="J19" i="1"/>
  <c r="J42" i="1"/>
  <c r="J49" i="1"/>
  <c r="J22" i="1"/>
  <c r="J43" i="1"/>
  <c r="J50" i="1"/>
  <c r="J36" i="1"/>
  <c r="J23" i="1"/>
  <c r="J46" i="1"/>
  <c r="J51" i="1"/>
  <c r="J37" i="1"/>
  <c r="J26" i="1"/>
  <c r="J31" i="1"/>
  <c r="J40" i="1"/>
  <c r="L59" i="1"/>
  <c r="L50" i="1"/>
  <c r="L40" i="1"/>
  <c r="L36" i="1"/>
  <c r="L15" i="1"/>
  <c r="L58" i="1"/>
  <c r="L28" i="1"/>
  <c r="L12" i="1"/>
  <c r="L16" i="1"/>
  <c r="L52" i="1"/>
  <c r="L34" i="1"/>
  <c r="L46" i="1"/>
  <c r="L17" i="1"/>
  <c r="L33" i="1"/>
  <c r="L49" i="1"/>
  <c r="L35" i="1"/>
  <c r="L51" i="1"/>
  <c r="J16" i="1"/>
  <c r="J10" i="1"/>
  <c r="L27" i="1"/>
  <c r="L23" i="1"/>
  <c r="L11" i="1"/>
  <c r="L44" i="1"/>
  <c r="L24" i="1"/>
  <c r="L54" i="1"/>
  <c r="L37" i="1"/>
  <c r="L53" i="1"/>
  <c r="L39" i="1"/>
  <c r="L55" i="1"/>
  <c r="J11" i="1"/>
  <c r="J9" i="1"/>
  <c r="J14" i="1"/>
  <c r="L48" i="1"/>
  <c r="L32" i="1"/>
  <c r="L56" i="1"/>
  <c r="L30" i="1"/>
  <c r="L9" i="1"/>
  <c r="L25" i="1"/>
  <c r="L41" i="1"/>
  <c r="L57" i="1"/>
  <c r="L43" i="1"/>
  <c r="J29" i="1"/>
  <c r="J13" i="1"/>
  <c r="L10" i="1"/>
  <c r="L42" i="1"/>
  <c r="L26" i="1"/>
  <c r="L14" i="1"/>
  <c r="L38" i="1"/>
  <c r="L13" i="1"/>
  <c r="L29" i="1"/>
  <c r="L45" i="1"/>
  <c r="L31" i="1"/>
  <c r="L47" i="1"/>
  <c r="J12" i="1"/>
  <c r="J15" i="1"/>
  <c r="T52" i="1" l="1"/>
  <c r="T56" i="1"/>
  <c r="T16" i="1"/>
  <c r="T12" i="1"/>
  <c r="T29" i="1"/>
  <c r="T45" i="1"/>
  <c r="T14" i="1"/>
  <c r="T22" i="1"/>
  <c r="T38" i="1"/>
  <c r="T54" i="1"/>
  <c r="T15" i="1"/>
  <c r="T31" i="1"/>
  <c r="T47" i="1"/>
  <c r="C22" i="2"/>
  <c r="T20" i="1"/>
  <c r="T24" i="1"/>
  <c r="T28" i="1"/>
  <c r="T48" i="1"/>
  <c r="T21" i="1"/>
  <c r="T37" i="1"/>
  <c r="T53" i="1"/>
  <c r="T13" i="1"/>
  <c r="T30" i="1"/>
  <c r="T46" i="1"/>
  <c r="T6" i="1"/>
  <c r="T23" i="1"/>
  <c r="T39" i="1"/>
  <c r="T55" i="1"/>
  <c r="T36" i="1"/>
  <c r="T40" i="1"/>
  <c r="T44" i="1"/>
  <c r="T8" i="1"/>
  <c r="T25" i="1"/>
  <c r="T41" i="1"/>
  <c r="T57" i="1"/>
  <c r="T18" i="1"/>
  <c r="T34" i="1"/>
  <c r="T50" i="1"/>
  <c r="T10" i="1"/>
  <c r="T27" i="1"/>
  <c r="T43" i="1"/>
  <c r="T59" i="1"/>
  <c r="T7" i="1"/>
  <c r="T11" i="1"/>
  <c r="T32" i="1"/>
  <c r="T17" i="1"/>
  <c r="T33" i="1"/>
  <c r="T49" i="1"/>
  <c r="T9" i="1"/>
  <c r="T26" i="1"/>
  <c r="T42" i="1"/>
  <c r="T58" i="1"/>
  <c r="T19" i="1"/>
  <c r="T35" i="1"/>
  <c r="T51" i="1"/>
  <c r="C20" i="2"/>
  <c r="C23" i="2"/>
  <c r="K16" i="1"/>
  <c r="K37" i="1"/>
  <c r="K36" i="1"/>
  <c r="K49" i="1"/>
  <c r="K39" i="1"/>
  <c r="K33" i="1"/>
  <c r="C21" i="2"/>
  <c r="K41" i="1"/>
  <c r="K38" i="1"/>
  <c r="K52" i="1"/>
  <c r="K15" i="1"/>
  <c r="K13" i="1"/>
  <c r="K14" i="1"/>
  <c r="K40" i="1"/>
  <c r="K51" i="1"/>
  <c r="K50" i="1"/>
  <c r="K42" i="1"/>
  <c r="K18" i="1"/>
  <c r="K21" i="1"/>
  <c r="K24" i="1"/>
  <c r="K28" i="1"/>
  <c r="K17" i="1"/>
  <c r="K6" i="1"/>
  <c r="O6" i="1" s="1"/>
  <c r="K12" i="1"/>
  <c r="K29" i="1"/>
  <c r="K9" i="1"/>
  <c r="K31" i="1"/>
  <c r="K46" i="1"/>
  <c r="K43" i="1"/>
  <c r="K19" i="1"/>
  <c r="K32" i="1"/>
  <c r="K25" i="1"/>
  <c r="K47" i="1"/>
  <c r="K44" i="1"/>
  <c r="K8" i="1"/>
  <c r="K11" i="1"/>
  <c r="K26" i="1"/>
  <c r="K23" i="1"/>
  <c r="K22" i="1"/>
  <c r="K30" i="1"/>
  <c r="K45" i="1"/>
  <c r="K34" i="1"/>
  <c r="K35" i="1"/>
  <c r="K20" i="1"/>
  <c r="K48" i="1"/>
  <c r="K7" i="1"/>
  <c r="K27" i="1"/>
  <c r="N8" i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K10" i="1"/>
  <c r="B25" i="2" l="1"/>
  <c r="B26" i="2" s="1"/>
  <c r="T63" i="1"/>
  <c r="O7" i="1"/>
  <c r="P7" i="1" s="1"/>
  <c r="P6" i="1"/>
  <c r="B28" i="2" l="1"/>
  <c r="B53" i="2"/>
  <c r="B54" i="2" s="1"/>
  <c r="J1" i="1" s="1"/>
  <c r="L22" i="1" s="1"/>
  <c r="L20" i="1"/>
  <c r="L21" i="1"/>
  <c r="L18" i="1"/>
  <c r="N19" i="1" s="1"/>
  <c r="L19" i="1"/>
  <c r="O8" i="1"/>
  <c r="O9" i="1" s="1"/>
  <c r="P8" i="1" l="1"/>
  <c r="N20" i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P9" i="1"/>
  <c r="O10" i="1"/>
  <c r="P10" i="1" l="1"/>
  <c r="O11" i="1"/>
  <c r="O12" i="1" l="1"/>
  <c r="P11" i="1"/>
  <c r="O13" i="1" l="1"/>
  <c r="P12" i="1"/>
  <c r="P13" i="1" l="1"/>
  <c r="O14" i="1"/>
  <c r="P14" i="1" l="1"/>
  <c r="O15" i="1"/>
  <c r="P15" i="1" l="1"/>
  <c r="O16" i="1"/>
  <c r="P16" i="1" l="1"/>
  <c r="O17" i="1"/>
  <c r="P17" i="1" l="1"/>
  <c r="O18" i="1"/>
  <c r="O19" i="1" l="1"/>
  <c r="P18" i="1"/>
  <c r="O20" i="1" l="1"/>
  <c r="P19" i="1"/>
  <c r="O21" i="1" l="1"/>
  <c r="P20" i="1"/>
  <c r="P21" i="1" l="1"/>
  <c r="O22" i="1"/>
  <c r="P22" i="1" l="1"/>
  <c r="O23" i="1"/>
  <c r="P23" i="1" l="1"/>
  <c r="O24" i="1"/>
  <c r="P24" i="1" l="1"/>
  <c r="O25" i="1"/>
  <c r="P25" i="1" l="1"/>
  <c r="O26" i="1"/>
  <c r="P26" i="1" l="1"/>
  <c r="O27" i="1"/>
  <c r="P27" i="1" l="1"/>
  <c r="O28" i="1"/>
  <c r="P28" i="1" l="1"/>
  <c r="O29" i="1"/>
  <c r="P29" i="1" l="1"/>
  <c r="O30" i="1"/>
  <c r="P30" i="1" l="1"/>
  <c r="O31" i="1"/>
  <c r="P31" i="1" l="1"/>
  <c r="O32" i="1"/>
  <c r="P32" i="1" l="1"/>
  <c r="O33" i="1"/>
  <c r="P33" i="1" l="1"/>
  <c r="O34" i="1"/>
  <c r="P34" i="1" l="1"/>
  <c r="O35" i="1"/>
  <c r="O36" i="1" l="1"/>
  <c r="P35" i="1"/>
  <c r="O37" i="1" l="1"/>
  <c r="P36" i="1"/>
  <c r="O38" i="1" l="1"/>
  <c r="P37" i="1"/>
  <c r="O39" i="1" l="1"/>
  <c r="P38" i="1"/>
  <c r="O40" i="1" l="1"/>
  <c r="P39" i="1"/>
  <c r="P40" i="1" l="1"/>
  <c r="O41" i="1"/>
  <c r="H53" i="1"/>
  <c r="F53" i="1"/>
  <c r="O42" i="1" l="1"/>
  <c r="P41" i="1"/>
  <c r="I53" i="1"/>
  <c r="J53" i="1" s="1"/>
  <c r="H54" i="1"/>
  <c r="I54" i="1"/>
  <c r="J54" i="1" s="1"/>
  <c r="K53" i="1" l="1"/>
  <c r="K54" i="1"/>
  <c r="P42" i="1"/>
  <c r="O43" i="1"/>
  <c r="F54" i="1"/>
  <c r="O44" i="1" l="1"/>
  <c r="P43" i="1"/>
  <c r="B56" i="1"/>
  <c r="F55" i="1"/>
  <c r="P44" i="1" l="1"/>
  <c r="O45" i="1"/>
  <c r="B57" i="1"/>
  <c r="F56" i="1"/>
  <c r="G55" i="1"/>
  <c r="C56" i="1"/>
  <c r="D55" i="1"/>
  <c r="R55" i="1" s="1"/>
  <c r="P45" i="1" l="1"/>
  <c r="O46" i="1"/>
  <c r="I55" i="1"/>
  <c r="J55" i="1" s="1"/>
  <c r="H55" i="1"/>
  <c r="D56" i="1"/>
  <c r="R56" i="1" s="1"/>
  <c r="C57" i="1"/>
  <c r="G56" i="1"/>
  <c r="B58" i="1"/>
  <c r="F57" i="1"/>
  <c r="K55" i="1" l="1"/>
  <c r="P46" i="1"/>
  <c r="O47" i="1"/>
  <c r="C58" i="1"/>
  <c r="G57" i="1"/>
  <c r="D57" i="1"/>
  <c r="R57" i="1" s="1"/>
  <c r="H56" i="1"/>
  <c r="I56" i="1"/>
  <c r="J56" i="1" s="1"/>
  <c r="B59" i="1"/>
  <c r="F59" i="1" s="1"/>
  <c r="F58" i="1"/>
  <c r="K56" i="1" l="1"/>
  <c r="P47" i="1"/>
  <c r="O48" i="1"/>
  <c r="D58" i="1"/>
  <c r="R58" i="1" s="1"/>
  <c r="H57" i="1"/>
  <c r="I57" i="1"/>
  <c r="J57" i="1" s="1"/>
  <c r="C59" i="1"/>
  <c r="G59" i="1" s="1"/>
  <c r="G58" i="1"/>
  <c r="K57" i="1" l="1"/>
  <c r="P48" i="1"/>
  <c r="O49" i="1"/>
  <c r="D59" i="1"/>
  <c r="R59" i="1" s="1"/>
  <c r="I58" i="1"/>
  <c r="J58" i="1" s="1"/>
  <c r="H58" i="1"/>
  <c r="K58" i="1" l="1"/>
  <c r="P49" i="1"/>
  <c r="O50" i="1"/>
  <c r="I59" i="1"/>
  <c r="J59" i="1" s="1"/>
  <c r="H59" i="1"/>
  <c r="K59" i="1" l="1"/>
  <c r="O51" i="1"/>
  <c r="P50" i="1"/>
  <c r="P51" i="1" l="1"/>
  <c r="O52" i="1"/>
  <c r="O53" i="1" l="1"/>
  <c r="P52" i="1"/>
  <c r="P53" i="1" l="1"/>
  <c r="O54" i="1"/>
  <c r="O55" i="1" l="1"/>
  <c r="P54" i="1"/>
  <c r="O56" i="1" l="1"/>
  <c r="P55" i="1"/>
  <c r="O57" i="1" l="1"/>
  <c r="P56" i="1"/>
  <c r="O58" i="1" l="1"/>
  <c r="P57" i="1"/>
  <c r="O59" i="1" l="1"/>
  <c r="P59" i="1" s="1"/>
  <c r="P58" i="1"/>
  <c r="B62" i="1" s="1"/>
  <c r="B32" i="2" s="1"/>
  <c r="B34" i="2" s="1"/>
  <c r="B35" i="2" s="1"/>
</calcChain>
</file>

<file path=xl/sharedStrings.xml><?xml version="1.0" encoding="utf-8"?>
<sst xmlns="http://schemas.openxmlformats.org/spreadsheetml/2006/main" count="136" uniqueCount="94">
  <si>
    <t>Alter</t>
  </si>
  <si>
    <t>Sparbeiträge</t>
  </si>
  <si>
    <t>Standard</t>
  </si>
  <si>
    <t>Risiko</t>
  </si>
  <si>
    <t>Total AN Beiträge</t>
  </si>
  <si>
    <t>Daten des Versicherten</t>
  </si>
  <si>
    <t>Salär</t>
  </si>
  <si>
    <t>für massgebenden Lohn massgebend</t>
  </si>
  <si>
    <t>pro Jahr</t>
  </si>
  <si>
    <t>Koordinationsabzugsberechnung</t>
  </si>
  <si>
    <t>Abzug</t>
  </si>
  <si>
    <t>Standardsatz</t>
  </si>
  <si>
    <t>im Maximum</t>
  </si>
  <si>
    <t>Effektive</t>
  </si>
  <si>
    <t>Maximal versicherter Jahreslohn</t>
  </si>
  <si>
    <t>Berechnung versicherter Jahreslohn</t>
  </si>
  <si>
    <t>versicherter Jahreslohn (ohe Berücksichtigung "Schwellen)</t>
  </si>
  <si>
    <t>Risikobeitrag</t>
  </si>
  <si>
    <t>in %</t>
  </si>
  <si>
    <t>in CHF</t>
  </si>
  <si>
    <t>gewählter Plan</t>
  </si>
  <si>
    <t>Umwandlungssatz</t>
  </si>
  <si>
    <t>Beitragszeit</t>
  </si>
  <si>
    <t>numerischer Wert des Plans</t>
  </si>
  <si>
    <t>Spar Beitrag in CHF</t>
  </si>
  <si>
    <t>Sparguthaben am 1.1.2016</t>
  </si>
  <si>
    <t>Realverzinsung (Annahme)</t>
  </si>
  <si>
    <t>Zinssatz</t>
  </si>
  <si>
    <t>erwartete Monatsrente</t>
  </si>
  <si>
    <t>verzinstes Kapital am Jahresende nur bestehendes Sparkapital</t>
  </si>
  <si>
    <t>verzinste zusätzliche Sparbeiträge am Jahresende</t>
  </si>
  <si>
    <t>Total Sparguthaben</t>
  </si>
  <si>
    <t>inkl. Arbeitgeber</t>
  </si>
  <si>
    <t>PK GF - Berechnung Arbeitnehmer Beiträge</t>
  </si>
  <si>
    <t>erhöht</t>
  </si>
  <si>
    <t>reduziert</t>
  </si>
  <si>
    <t>Penisonierungsalter</t>
  </si>
  <si>
    <t>nur Werte zwischen 58 und 70 erlaubt</t>
  </si>
  <si>
    <t>Pensionierungsalter</t>
  </si>
  <si>
    <t>Sparkapital</t>
  </si>
  <si>
    <t>maximale AHV Rente</t>
  </si>
  <si>
    <t>gewählter Plan für die Zukunft</t>
  </si>
  <si>
    <t>Verzinsung laufendes Jahr</t>
  </si>
  <si>
    <t>jedes Jahr zu kontrollieren</t>
  </si>
  <si>
    <t>Berechnung Entwicklung Sparguthaben im laufenden Jahr</t>
  </si>
  <si>
    <t>Sparguthaben Ende Vorjahr</t>
  </si>
  <si>
    <t>Sparbeiträge laufendes Jahr</t>
  </si>
  <si>
    <t>Total Sparguthaben Ende laufendes Jahr</t>
  </si>
  <si>
    <t>Daten laufendes Jahr</t>
  </si>
  <si>
    <t>Zukunftsdaten</t>
  </si>
  <si>
    <t>Beitragsjahr</t>
  </si>
  <si>
    <t>Sparguthaben Ende laufendes Jahr</t>
  </si>
  <si>
    <t>gewählter Plan Zukunft</t>
  </si>
  <si>
    <t>Alter nächstes Jahr</t>
  </si>
  <si>
    <t>Alter laufendes Jahr</t>
  </si>
  <si>
    <t>gewählter Plan laufendes Jahr</t>
  </si>
  <si>
    <t>Spar Beitrag in CHF ohne Verzinsung laufendes Jahr</t>
  </si>
  <si>
    <t xml:space="preserve">jedes Jahr zu kontrollieren; Feld B6 und C6; A9-11; A17; A23; A24; A26 jedes Jahr anzupassen; </t>
  </si>
  <si>
    <t>mit diesem % Satz wird Ihr Sparguthaben jährlich verzinst</t>
  </si>
  <si>
    <t>erwartetes Altersguthaben</t>
  </si>
  <si>
    <t>erwartete jährliche Rente</t>
  </si>
  <si>
    <t>3 für erhöht</t>
  </si>
  <si>
    <t>Eingaben:</t>
  </si>
  <si>
    <t>1 für reduziert; 2 für standard;</t>
  </si>
  <si>
    <t>Geburts Datum</t>
  </si>
  <si>
    <t>nur für ganze Jahre gerechnet</t>
  </si>
  <si>
    <t>blaue Felder sind auszufüllen</t>
  </si>
  <si>
    <t>Ihr Monatsbeitrag 2019</t>
  </si>
  <si>
    <t>PK GF Beitragsstrukturen Arbeitnehmer</t>
  </si>
  <si>
    <t>im Jahr 2020</t>
  </si>
  <si>
    <t>Sparguthaben per Ende 2018</t>
  </si>
  <si>
    <t>Ihr Jahresbeitrag 2020 (ohne Salärentwicklung!)</t>
  </si>
  <si>
    <t>Beiträge pro Jahr für 2020</t>
  </si>
  <si>
    <t>Zielbonus in %</t>
  </si>
  <si>
    <t>Ihr Monatsbeitrag 2020</t>
  </si>
  <si>
    <t>Bruttomonatssalär 2019</t>
  </si>
  <si>
    <t>Schichtzulage 2019</t>
  </si>
  <si>
    <t>Versicherter Jahreslohn neu</t>
  </si>
  <si>
    <t>Versicherter Jahreslohn alt</t>
  </si>
  <si>
    <t>Ihr Jahresbeitrag 2019</t>
  </si>
  <si>
    <t>gewählter Plan 2019</t>
  </si>
  <si>
    <t>Total massgebender Lohn ab 2020</t>
  </si>
  <si>
    <t>Koordinationsabzugsberechnung alt</t>
  </si>
  <si>
    <t>nur für Übergang 2019 / 2020 nachher auf Beitragstabelle neu anzupassen</t>
  </si>
  <si>
    <t>Risikobeitrag 2019</t>
  </si>
  <si>
    <t>PK GF Beitragsstrukturen Arbeitnehmer ALT - ab 2021 nicht mehr verwenden und zu löschen</t>
  </si>
  <si>
    <t>Massgebender Jahreslohn alt</t>
  </si>
  <si>
    <t>Sparbeitrag AN 2019</t>
  </si>
  <si>
    <t>muss ab 2020 gelöscht werden</t>
  </si>
  <si>
    <t>allenfalls sind die Texte noch mit dem neuen Reglement in Übereinstimmung zu bringen</t>
  </si>
  <si>
    <t>Ab 2020 wieder zu löschen</t>
  </si>
  <si>
    <t>Sparbeitrag reduziert</t>
  </si>
  <si>
    <t>Sparbeitrag standard</t>
  </si>
  <si>
    <t>Sparbeitrag erhöht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</si>
</sst>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0.5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0.5"/>
      <color rgb="FFFF000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i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2" borderId="0" xfId="0" applyFill="1"/>
    <xf numFmtId="43" fontId="4" fillId="0" borderId="0" xfId="1" applyFont="1"/>
    <xf numFmtId="10" fontId="0" fillId="2" borderId="0" xfId="0" applyNumberFormat="1" applyFill="1"/>
    <xf numFmtId="0" fontId="5" fillId="0" borderId="0" xfId="0" applyFont="1"/>
    <xf numFmtId="10" fontId="0" fillId="0" borderId="0" xfId="0" applyNumberFormat="1"/>
    <xf numFmtId="0" fontId="0" fillId="2" borderId="0" xfId="0" applyFont="1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10" fontId="0" fillId="0" borderId="0" xfId="2" applyNumberFormat="1" applyFont="1"/>
    <xf numFmtId="0" fontId="7" fillId="0" borderId="0" xfId="0" applyFont="1"/>
    <xf numFmtId="164" fontId="7" fillId="0" borderId="0" xfId="0" applyNumberFormat="1" applyFont="1"/>
    <xf numFmtId="9" fontId="7" fillId="0" borderId="0" xfId="0" applyNumberFormat="1" applyFont="1"/>
    <xf numFmtId="0" fontId="5" fillId="3" borderId="0" xfId="0" applyFont="1" applyFill="1"/>
    <xf numFmtId="0" fontId="3" fillId="3" borderId="0" xfId="0" applyFont="1" applyFill="1"/>
    <xf numFmtId="0" fontId="0" fillId="3" borderId="0" xfId="0" applyFill="1"/>
    <xf numFmtId="0" fontId="0" fillId="3" borderId="0" xfId="0" applyFont="1" applyFill="1"/>
    <xf numFmtId="10" fontId="0" fillId="3" borderId="0" xfId="0" applyNumberFormat="1" applyFont="1" applyFill="1"/>
    <xf numFmtId="164" fontId="5" fillId="4" borderId="0" xfId="1" applyNumberFormat="1" applyFont="1" applyFill="1"/>
    <xf numFmtId="0" fontId="5" fillId="4" borderId="0" xfId="0" applyFont="1" applyFill="1"/>
    <xf numFmtId="164" fontId="0" fillId="4" borderId="0" xfId="1" applyNumberFormat="1" applyFont="1" applyFill="1"/>
    <xf numFmtId="0" fontId="0" fillId="4" borderId="0" xfId="0" applyFill="1"/>
    <xf numFmtId="10" fontId="0" fillId="4" borderId="0" xfId="2" applyNumberFormat="1" applyFont="1" applyFill="1"/>
    <xf numFmtId="10" fontId="4" fillId="4" borderId="0" xfId="2" applyNumberFormat="1" applyFont="1" applyFill="1"/>
    <xf numFmtId="164" fontId="3" fillId="4" borderId="0" xfId="1" applyNumberFormat="1" applyFont="1" applyFill="1"/>
    <xf numFmtId="9" fontId="0" fillId="4" borderId="0" xfId="2" applyFont="1" applyFill="1"/>
    <xf numFmtId="0" fontId="3" fillId="0" borderId="0" xfId="0" applyFont="1" applyAlignment="1">
      <alignment horizontal="left" vertical="center"/>
    </xf>
    <xf numFmtId="10" fontId="7" fillId="0" borderId="0" xfId="0" applyNumberFormat="1" applyFont="1"/>
    <xf numFmtId="0" fontId="8" fillId="0" borderId="0" xfId="0" applyFont="1"/>
    <xf numFmtId="164" fontId="9" fillId="5" borderId="0" xfId="0" applyNumberFormat="1" applyFont="1" applyFill="1"/>
    <xf numFmtId="10" fontId="9" fillId="5" borderId="0" xfId="2" applyNumberFormat="1" applyFont="1" applyFill="1"/>
    <xf numFmtId="0" fontId="3" fillId="0" borderId="0" xfId="0" applyFont="1" applyAlignment="1">
      <alignment wrapText="1"/>
    </xf>
    <xf numFmtId="164" fontId="5" fillId="3" borderId="0" xfId="1" applyNumberFormat="1" applyFont="1" applyFill="1"/>
    <xf numFmtId="10" fontId="0" fillId="3" borderId="0" xfId="2" applyNumberFormat="1" applyFont="1" applyFill="1"/>
    <xf numFmtId="164" fontId="3" fillId="3" borderId="0" xfId="1" applyNumberFormat="1" applyFont="1" applyFill="1"/>
    <xf numFmtId="164" fontId="0" fillId="3" borderId="0" xfId="1" applyNumberFormat="1" applyFont="1" applyFill="1"/>
    <xf numFmtId="9" fontId="0" fillId="3" borderId="0" xfId="2" applyFont="1" applyFill="1"/>
    <xf numFmtId="10" fontId="5" fillId="3" borderId="0" xfId="2" applyNumberFormat="1" applyFont="1" applyFill="1"/>
    <xf numFmtId="164" fontId="10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14" fontId="3" fillId="6" borderId="0" xfId="0" applyNumberFormat="1" applyFont="1" applyFill="1" applyProtection="1">
      <protection locked="0"/>
    </xf>
    <xf numFmtId="164" fontId="3" fillId="6" borderId="0" xfId="1" applyNumberFormat="1" applyFont="1" applyFill="1" applyProtection="1">
      <protection locked="0"/>
    </xf>
    <xf numFmtId="10" fontId="3" fillId="6" borderId="0" xfId="2" applyNumberFormat="1" applyFont="1" applyFill="1" applyAlignment="1" applyProtection="1">
      <alignment vertical="top"/>
      <protection locked="0"/>
    </xf>
    <xf numFmtId="14" fontId="0" fillId="6" borderId="0" xfId="0" applyNumberFormat="1" applyFont="1" applyFill="1" applyProtection="1"/>
    <xf numFmtId="9" fontId="3" fillId="6" borderId="0" xfId="2" applyFont="1" applyFill="1" applyProtection="1">
      <protection locked="0"/>
    </xf>
    <xf numFmtId="0" fontId="0" fillId="5" borderId="0" xfId="0" applyFill="1"/>
    <xf numFmtId="0" fontId="0" fillId="7" borderId="0" xfId="0" applyFill="1"/>
    <xf numFmtId="10" fontId="0" fillId="2" borderId="0" xfId="0" applyNumberFormat="1" applyFont="1" applyFill="1"/>
    <xf numFmtId="0" fontId="12" fillId="0" borderId="0" xfId="0" applyFont="1"/>
    <xf numFmtId="164" fontId="12" fillId="0" borderId="0" xfId="0" applyNumberFormat="1" applyFont="1"/>
    <xf numFmtId="0" fontId="7" fillId="5" borderId="0" xfId="0" applyFont="1" applyFill="1"/>
    <xf numFmtId="0" fontId="11" fillId="5" borderId="0" xfId="0" applyFont="1" applyFill="1"/>
    <xf numFmtId="164" fontId="7" fillId="5" borderId="0" xfId="0" applyNumberFormat="1" applyFont="1" applyFill="1"/>
    <xf numFmtId="9" fontId="7" fillId="5" borderId="0" xfId="0" applyNumberFormat="1" applyFont="1" applyFill="1"/>
    <xf numFmtId="0" fontId="0" fillId="0" borderId="0" xfId="0" applyAlignment="1">
      <alignment vertical="top" wrapText="1"/>
    </xf>
    <xf numFmtId="0" fontId="0" fillId="0" borderId="0" xfId="0" applyFill="1"/>
  </cellXfs>
  <cellStyles count="5">
    <cellStyle name="Komma" xfId="1" builtinId="3"/>
    <cellStyle name="Prozent" xfId="2" builtinId="5"/>
    <cellStyle name="Prozent 2" xfId="4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57150</xdr:rowOff>
    </xdr:from>
    <xdr:to>
      <xdr:col>3</xdr:col>
      <xdr:colOff>1800225</xdr:colOff>
      <xdr:row>36</xdr:row>
      <xdr:rowOff>104775</xdr:rowOff>
    </xdr:to>
    <xdr:sp macro="" textlink="">
      <xdr:nvSpPr>
        <xdr:cNvPr id="2" name="Textfeld 1"/>
        <xdr:cNvSpPr txBox="1"/>
      </xdr:nvSpPr>
      <xdr:spPr>
        <a:xfrm>
          <a:off x="0" y="6134100"/>
          <a:ext cx="6115050" cy="8286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Wichtig: Diese vereinfachte Projektionsrechnung basiert auf Ihren Annahmen und es besteht kein Anspruch auf die aufgeführte Altersrente. Nur die im konkreten Leistungsfall von der Pensionskasse Georg Fischer unterzeichnete</a:t>
          </a:r>
          <a:r>
            <a:rPr lang="de-CH" sz="1100" b="1" baseline="0">
              <a:latin typeface="Arial" panose="020B0604020202020204" pitchFamily="34" charset="0"/>
              <a:cs typeface="Arial" panose="020B0604020202020204" pitchFamily="34" charset="0"/>
            </a:rPr>
            <a:t> Rentenzusage ist verbindlich.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itragsrechner%20PKGF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Versicherter"/>
      <sheetName val="Beitragstabelle"/>
    </sheetNames>
    <sheetDataSet>
      <sheetData sheetId="0">
        <row r="28">
          <cell r="B28">
            <v>65</v>
          </cell>
        </row>
        <row r="53">
          <cell r="A53">
            <v>1</v>
          </cell>
        </row>
        <row r="54">
          <cell r="A54">
            <v>2</v>
          </cell>
        </row>
        <row r="55">
          <cell r="A55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4"/>
  <sheetViews>
    <sheetView tabSelected="1" workbookViewId="0">
      <selection activeCell="B5" sqref="B5"/>
    </sheetView>
  </sheetViews>
  <sheetFormatPr baseColWidth="10" defaultRowHeight="13.5" x14ac:dyDescent="0.2"/>
  <cols>
    <col min="1" max="1" width="36.875" customWidth="1"/>
    <col min="2" max="2" width="10.625" customWidth="1"/>
    <col min="3" max="3" width="9.125" customWidth="1"/>
    <col min="4" max="4" width="24.375" customWidth="1"/>
    <col min="5" max="5" width="19.75" hidden="1" customWidth="1"/>
  </cols>
  <sheetData>
    <row r="1" spans="1:4" s="10" customFormat="1" ht="20.25" x14ac:dyDescent="0.3">
      <c r="A1" s="10" t="s">
        <v>33</v>
      </c>
    </row>
    <row r="2" spans="1:4" s="31" customFormat="1" ht="26.25" customHeight="1" x14ac:dyDescent="0.2"/>
    <row r="3" spans="1:4" x14ac:dyDescent="0.2">
      <c r="A3" t="s">
        <v>5</v>
      </c>
      <c r="B3" s="49" t="s">
        <v>66</v>
      </c>
      <c r="C3" s="49"/>
    </row>
    <row r="5" spans="1:4" x14ac:dyDescent="0.2">
      <c r="A5" s="1" t="s">
        <v>64</v>
      </c>
      <c r="B5" s="46">
        <v>31761</v>
      </c>
    </row>
    <row r="6" spans="1:4" x14ac:dyDescent="0.2">
      <c r="A6" t="s">
        <v>0</v>
      </c>
      <c r="B6" s="11">
        <f>2020-YEAR(B5)</f>
        <v>34</v>
      </c>
      <c r="C6" t="s">
        <v>69</v>
      </c>
    </row>
    <row r="8" spans="1:4" x14ac:dyDescent="0.2">
      <c r="A8" s="1" t="s">
        <v>6</v>
      </c>
      <c r="C8" t="s">
        <v>7</v>
      </c>
    </row>
    <row r="9" spans="1:4" x14ac:dyDescent="0.2">
      <c r="A9" t="s">
        <v>75</v>
      </c>
      <c r="B9" s="47">
        <v>5000</v>
      </c>
      <c r="C9" s="11">
        <f>+B9*13</f>
        <v>65000</v>
      </c>
    </row>
    <row r="10" spans="1:4" x14ac:dyDescent="0.2">
      <c r="A10" t="s">
        <v>76</v>
      </c>
      <c r="B10" s="47">
        <v>0</v>
      </c>
      <c r="C10" s="11">
        <f>IF(B10&lt;0.5*B9,0,IF(B10&gt;1.3*B9,1.3*B9,B10))</f>
        <v>0</v>
      </c>
    </row>
    <row r="11" spans="1:4" x14ac:dyDescent="0.2">
      <c r="A11" t="s">
        <v>73</v>
      </c>
      <c r="B11" s="50">
        <v>0.03</v>
      </c>
      <c r="C11" s="11">
        <f>+B11*C9</f>
        <v>1950</v>
      </c>
    </row>
    <row r="12" spans="1:4" x14ac:dyDescent="0.2">
      <c r="A12" t="s">
        <v>80</v>
      </c>
      <c r="B12" s="47">
        <v>3</v>
      </c>
      <c r="C12" s="11" t="s">
        <v>62</v>
      </c>
      <c r="D12" t="s">
        <v>63</v>
      </c>
    </row>
    <row r="13" spans="1:4" x14ac:dyDescent="0.2">
      <c r="A13" t="s">
        <v>41</v>
      </c>
      <c r="B13" s="47">
        <v>1</v>
      </c>
      <c r="C13" s="11"/>
      <c r="D13" t="s">
        <v>61</v>
      </c>
    </row>
    <row r="14" spans="1:4" x14ac:dyDescent="0.2">
      <c r="A14" t="s">
        <v>81</v>
      </c>
      <c r="B14" s="12">
        <f>+C10+C9+C11</f>
        <v>66950</v>
      </c>
      <c r="C14" s="11" t="s">
        <v>8</v>
      </c>
    </row>
    <row r="16" spans="1:4" x14ac:dyDescent="0.2">
      <c r="A16" s="1" t="s">
        <v>77</v>
      </c>
      <c r="B16" s="13">
        <f>+D48</f>
        <v>46865</v>
      </c>
    </row>
    <row r="17" spans="1:5" x14ac:dyDescent="0.2">
      <c r="A17" s="1" t="s">
        <v>78</v>
      </c>
      <c r="B17" s="13">
        <f>+D82</f>
        <v>42250</v>
      </c>
      <c r="E17" s="52" t="s">
        <v>90</v>
      </c>
    </row>
    <row r="19" spans="1:5" x14ac:dyDescent="0.2">
      <c r="A19" t="s">
        <v>72</v>
      </c>
      <c r="B19" s="44" t="s">
        <v>18</v>
      </c>
      <c r="C19" s="44" t="s">
        <v>19</v>
      </c>
    </row>
    <row r="20" spans="1:5" x14ac:dyDescent="0.2">
      <c r="A20" t="s">
        <v>17</v>
      </c>
      <c r="B20" s="14">
        <f>LOOKUP(B$6,'Beitragstabelle neu'!A$6:A$59,'Beitragstabelle neu'!E$6:E$59)</f>
        <v>0.01</v>
      </c>
      <c r="C20" s="12">
        <f>+B20*B$16</f>
        <v>468.65000000000003</v>
      </c>
    </row>
    <row r="21" spans="1:5" x14ac:dyDescent="0.2">
      <c r="A21" s="61" t="s">
        <v>91</v>
      </c>
      <c r="B21" s="14">
        <f>LOOKUP(B$6,'Beitragstabelle neu'!A$6:A$59,'Beitragstabelle neu'!B$6:B$59)</f>
        <v>4.4000000000000011E-2</v>
      </c>
      <c r="C21" s="12">
        <f t="shared" ref="C21:C23" si="0">+B21*B$16</f>
        <v>2062.0600000000004</v>
      </c>
      <c r="E21" s="52" t="s">
        <v>89</v>
      </c>
    </row>
    <row r="22" spans="1:5" x14ac:dyDescent="0.2">
      <c r="A22" s="61" t="s">
        <v>92</v>
      </c>
      <c r="B22" s="14">
        <f>LOOKUP(B$6,'Beitragstabelle neu'!A$6:A$59,'Beitragstabelle neu'!C$6:C$59)</f>
        <v>6.4000000000000001E-2</v>
      </c>
      <c r="C22" s="12">
        <f t="shared" si="0"/>
        <v>2999.36</v>
      </c>
      <c r="E22" s="52" t="s">
        <v>89</v>
      </c>
    </row>
    <row r="23" spans="1:5" x14ac:dyDescent="0.2">
      <c r="A23" s="61" t="s">
        <v>93</v>
      </c>
      <c r="B23" s="14">
        <f>LOOKUP(B$6,'Beitragstabelle neu'!A$6:A$59,'Beitragstabelle neu'!D$6:D$59)</f>
        <v>9.1000000000000011E-2</v>
      </c>
      <c r="C23" s="12">
        <f t="shared" si="0"/>
        <v>4264.7150000000001</v>
      </c>
      <c r="E23" s="52" t="s">
        <v>89</v>
      </c>
    </row>
    <row r="25" spans="1:5" ht="27" x14ac:dyDescent="0.2">
      <c r="A25" s="36" t="s">
        <v>71</v>
      </c>
      <c r="B25" s="13">
        <f>IF(B$13=1,C20+C21,IF(B$13=2,C20+C22,IF(B$13=3,C20+C23,"Fehler")))</f>
        <v>2530.7100000000005</v>
      </c>
    </row>
    <row r="26" spans="1:5" x14ac:dyDescent="0.2">
      <c r="A26" s="1" t="s">
        <v>74</v>
      </c>
      <c r="B26" s="13">
        <f>+B25/12</f>
        <v>210.89250000000004</v>
      </c>
    </row>
    <row r="27" spans="1:5" x14ac:dyDescent="0.2">
      <c r="A27" s="54" t="s">
        <v>79</v>
      </c>
      <c r="B27" s="55">
        <f>+' Beitragstabelle alt nur 2020 v'!X63+' Beitragstabelle alt nur 2020 v'!V63</f>
        <v>4626.375</v>
      </c>
      <c r="E27" s="52" t="s">
        <v>90</v>
      </c>
    </row>
    <row r="28" spans="1:5" x14ac:dyDescent="0.2">
      <c r="A28" s="54" t="s">
        <v>67</v>
      </c>
      <c r="B28" s="55">
        <f>+B27/12</f>
        <v>385.53125</v>
      </c>
      <c r="E28" s="52" t="s">
        <v>90</v>
      </c>
    </row>
    <row r="29" spans="1:5" x14ac:dyDescent="0.2">
      <c r="A29" t="s">
        <v>70</v>
      </c>
      <c r="B29" s="47">
        <v>23000</v>
      </c>
    </row>
    <row r="30" spans="1:5" s="45" customFormat="1" ht="27" customHeight="1" x14ac:dyDescent="0.2">
      <c r="A30" s="45" t="s">
        <v>26</v>
      </c>
      <c r="B30" s="48">
        <v>0.01</v>
      </c>
      <c r="C30" s="60" t="s">
        <v>58</v>
      </c>
      <c r="D30" s="60"/>
    </row>
    <row r="31" spans="1:5" x14ac:dyDescent="0.2">
      <c r="A31" t="s">
        <v>36</v>
      </c>
      <c r="B31" s="47">
        <v>65</v>
      </c>
      <c r="C31" t="s">
        <v>37</v>
      </c>
    </row>
    <row r="32" spans="1:5" x14ac:dyDescent="0.2">
      <c r="A32" t="s">
        <v>59</v>
      </c>
      <c r="B32" s="13">
        <f>ROUND(+'Beitragstabelle neu'!B62,0)</f>
        <v>340729</v>
      </c>
      <c r="C32" t="s">
        <v>65</v>
      </c>
    </row>
    <row r="33" spans="1:4" x14ac:dyDescent="0.2">
      <c r="A33" t="s">
        <v>21</v>
      </c>
      <c r="B33" s="6">
        <f>LOOKUP(B31,A61:A73,B61:B73)</f>
        <v>5.5E-2</v>
      </c>
    </row>
    <row r="34" spans="1:4" x14ac:dyDescent="0.2">
      <c r="A34" t="s">
        <v>60</v>
      </c>
      <c r="B34" s="12">
        <f>ROUND(B33*B32,0)</f>
        <v>18740</v>
      </c>
    </row>
    <row r="35" spans="1:4" x14ac:dyDescent="0.2">
      <c r="A35" s="1" t="s">
        <v>28</v>
      </c>
      <c r="B35" s="13">
        <f>+B34/12</f>
        <v>1561.6666666666667</v>
      </c>
    </row>
    <row r="36" spans="1:4" ht="65.25" customHeight="1" x14ac:dyDescent="0.2"/>
    <row r="38" spans="1:4" ht="14.25" hidden="1" customHeight="1" x14ac:dyDescent="0.2"/>
    <row r="39" spans="1:4" s="1" customFormat="1" hidden="1" x14ac:dyDescent="0.2">
      <c r="A39" s="1" t="s">
        <v>40</v>
      </c>
      <c r="B39" s="34">
        <v>28440</v>
      </c>
      <c r="C39" s="33" t="s">
        <v>57</v>
      </c>
    </row>
    <row r="40" spans="1:4" s="1" customFormat="1" hidden="1" x14ac:dyDescent="0.2">
      <c r="A40" s="1" t="s">
        <v>42</v>
      </c>
      <c r="B40" s="35">
        <v>1.7500000000000002E-2</v>
      </c>
      <c r="C40" s="33" t="s">
        <v>43</v>
      </c>
    </row>
    <row r="41" spans="1:4" hidden="1" x14ac:dyDescent="0.2">
      <c r="A41" s="15" t="s">
        <v>9</v>
      </c>
      <c r="B41" s="15"/>
      <c r="C41" s="15" t="s">
        <v>11</v>
      </c>
      <c r="D41" s="15" t="s">
        <v>10</v>
      </c>
    </row>
    <row r="42" spans="1:4" hidden="1" x14ac:dyDescent="0.2">
      <c r="A42" s="15"/>
      <c r="B42" s="16">
        <f>+B14</f>
        <v>66950</v>
      </c>
      <c r="C42" s="17">
        <v>0.3</v>
      </c>
      <c r="D42" s="16">
        <f>+C42*B42</f>
        <v>20085</v>
      </c>
    </row>
    <row r="43" spans="1:4" hidden="1" x14ac:dyDescent="0.2">
      <c r="A43" s="15" t="s">
        <v>12</v>
      </c>
      <c r="B43" s="16"/>
      <c r="C43" s="17">
        <v>0.75</v>
      </c>
      <c r="D43" s="16">
        <f>+C43*B39</f>
        <v>21330</v>
      </c>
    </row>
    <row r="44" spans="1:4" hidden="1" x14ac:dyDescent="0.2">
      <c r="A44" s="15" t="s">
        <v>13</v>
      </c>
      <c r="B44" s="15"/>
      <c r="C44" s="15"/>
      <c r="D44" s="16">
        <f>IF(D42&gt;D43,D43,D42)</f>
        <v>20085</v>
      </c>
    </row>
    <row r="45" spans="1:4" hidden="1" x14ac:dyDescent="0.2">
      <c r="A45" s="15" t="s">
        <v>16</v>
      </c>
      <c r="B45" s="15"/>
      <c r="C45" s="15"/>
      <c r="D45" s="16">
        <f>+B14-D44</f>
        <v>46865</v>
      </c>
    </row>
    <row r="46" spans="1:4" hidden="1" x14ac:dyDescent="0.2">
      <c r="A46" s="15" t="s">
        <v>14</v>
      </c>
      <c r="B46" s="15"/>
      <c r="C46" s="15"/>
      <c r="D46" s="16">
        <f>4*B39</f>
        <v>113760</v>
      </c>
    </row>
    <row r="47" spans="1:4" hidden="1" x14ac:dyDescent="0.2">
      <c r="A47" s="15"/>
      <c r="B47" s="15"/>
      <c r="C47" s="15"/>
      <c r="D47" s="16"/>
    </row>
    <row r="48" spans="1:4" hidden="1" x14ac:dyDescent="0.2">
      <c r="A48" s="15" t="s">
        <v>15</v>
      </c>
      <c r="B48" s="15"/>
      <c r="C48" s="15"/>
      <c r="D48" s="16">
        <f>IF(B14&lt;0.75*B39,0,IF(D45&gt;D46,D46,D45))</f>
        <v>46865</v>
      </c>
    </row>
    <row r="49" spans="1:4" hidden="1" x14ac:dyDescent="0.2">
      <c r="A49" s="15"/>
      <c r="B49" s="15"/>
      <c r="C49" s="15"/>
      <c r="D49" s="16"/>
    </row>
    <row r="50" spans="1:4" hidden="1" x14ac:dyDescent="0.2">
      <c r="A50" s="15" t="s">
        <v>44</v>
      </c>
      <c r="B50" s="15"/>
      <c r="C50" s="15"/>
      <c r="D50" s="16"/>
    </row>
    <row r="51" spans="1:4" hidden="1" x14ac:dyDescent="0.2">
      <c r="A51" s="15" t="s">
        <v>45</v>
      </c>
      <c r="B51" s="16">
        <f>+B29</f>
        <v>23000</v>
      </c>
      <c r="C51" s="15"/>
      <c r="D51" s="16"/>
    </row>
    <row r="52" spans="1:4" hidden="1" x14ac:dyDescent="0.2">
      <c r="A52" s="15" t="s">
        <v>42</v>
      </c>
      <c r="B52" s="16">
        <f>+B51*B40</f>
        <v>402.50000000000006</v>
      </c>
      <c r="C52" s="15"/>
      <c r="D52" s="16"/>
    </row>
    <row r="53" spans="1:4" hidden="1" x14ac:dyDescent="0.2">
      <c r="A53" s="15" t="s">
        <v>46</v>
      </c>
      <c r="B53" s="16">
        <f>+' Beitragstabelle alt nur 2020 v'!T63</f>
        <v>7562.7500000000009</v>
      </c>
      <c r="C53" s="56" t="s">
        <v>83</v>
      </c>
      <c r="D53" s="16"/>
    </row>
    <row r="54" spans="1:4" hidden="1" x14ac:dyDescent="0.2">
      <c r="A54" s="15" t="s">
        <v>47</v>
      </c>
      <c r="B54" s="43">
        <f>+B51+B52+B53</f>
        <v>30965.25</v>
      </c>
      <c r="C54" s="15"/>
      <c r="D54" s="16"/>
    </row>
    <row r="55" spans="1:4" hidden="1" x14ac:dyDescent="0.2">
      <c r="A55" s="15"/>
      <c r="B55" s="15"/>
      <c r="C55" s="15"/>
      <c r="D55" s="16"/>
    </row>
    <row r="56" spans="1:4" hidden="1" x14ac:dyDescent="0.2">
      <c r="A56" s="15">
        <v>1</v>
      </c>
      <c r="B56" s="15"/>
      <c r="C56" s="15"/>
      <c r="D56" s="16"/>
    </row>
    <row r="57" spans="1:4" hidden="1" x14ac:dyDescent="0.2">
      <c r="A57" s="15">
        <v>2</v>
      </c>
      <c r="B57" s="15"/>
      <c r="C57" s="15"/>
      <c r="D57" s="15"/>
    </row>
    <row r="58" spans="1:4" hidden="1" x14ac:dyDescent="0.2">
      <c r="A58" s="15">
        <v>3</v>
      </c>
      <c r="B58" s="15"/>
      <c r="C58" s="15"/>
      <c r="D58" s="15"/>
    </row>
    <row r="59" spans="1:4" hidden="1" x14ac:dyDescent="0.2"/>
    <row r="60" spans="1:4" hidden="1" x14ac:dyDescent="0.2"/>
    <row r="61" spans="1:4" hidden="1" x14ac:dyDescent="0.2">
      <c r="A61" s="15">
        <v>58</v>
      </c>
      <c r="B61" s="32">
        <f t="shared" ref="B61:B66" si="1">+B62-0.0015</f>
        <v>4.4499999999999991E-2</v>
      </c>
      <c r="C61" s="6"/>
    </row>
    <row r="62" spans="1:4" hidden="1" x14ac:dyDescent="0.2">
      <c r="A62" s="15">
        <v>59</v>
      </c>
      <c r="B62" s="32">
        <f t="shared" si="1"/>
        <v>4.5999999999999992E-2</v>
      </c>
      <c r="C62" s="6"/>
    </row>
    <row r="63" spans="1:4" hidden="1" x14ac:dyDescent="0.2">
      <c r="A63" s="15">
        <v>60</v>
      </c>
      <c r="B63" s="32">
        <f t="shared" si="1"/>
        <v>4.7499999999999994E-2</v>
      </c>
      <c r="C63" s="6"/>
    </row>
    <row r="64" spans="1:4" hidden="1" x14ac:dyDescent="0.2">
      <c r="A64" s="15">
        <v>61</v>
      </c>
      <c r="B64" s="32">
        <f t="shared" si="1"/>
        <v>4.8999999999999995E-2</v>
      </c>
      <c r="C64" s="6"/>
    </row>
    <row r="65" spans="1:5" hidden="1" x14ac:dyDescent="0.2">
      <c r="A65" s="15">
        <v>62</v>
      </c>
      <c r="B65" s="32">
        <f t="shared" si="1"/>
        <v>5.0499999999999996E-2</v>
      </c>
      <c r="C65" s="6"/>
    </row>
    <row r="66" spans="1:5" hidden="1" x14ac:dyDescent="0.2">
      <c r="A66" s="15">
        <v>63</v>
      </c>
      <c r="B66" s="32">
        <f t="shared" si="1"/>
        <v>5.1999999999999998E-2</v>
      </c>
      <c r="C66" s="6"/>
    </row>
    <row r="67" spans="1:5" hidden="1" x14ac:dyDescent="0.2">
      <c r="A67" s="15">
        <v>64</v>
      </c>
      <c r="B67" s="32">
        <f>+B68-0.0015</f>
        <v>5.3499999999999999E-2</v>
      </c>
      <c r="C67" s="6"/>
    </row>
    <row r="68" spans="1:5" hidden="1" x14ac:dyDescent="0.2">
      <c r="A68" s="15">
        <v>65</v>
      </c>
      <c r="B68" s="32">
        <v>5.5E-2</v>
      </c>
      <c r="C68" s="6"/>
    </row>
    <row r="69" spans="1:5" hidden="1" x14ac:dyDescent="0.2">
      <c r="A69" s="15">
        <v>66</v>
      </c>
      <c r="B69" s="32">
        <f>+B68+0.0015</f>
        <v>5.6500000000000002E-2</v>
      </c>
      <c r="C69" s="6"/>
    </row>
    <row r="70" spans="1:5" hidden="1" x14ac:dyDescent="0.2">
      <c r="A70" s="15">
        <v>67</v>
      </c>
      <c r="B70" s="32">
        <f t="shared" ref="B70:B73" si="2">+B69+0.0015</f>
        <v>5.8000000000000003E-2</v>
      </c>
      <c r="C70" s="6"/>
    </row>
    <row r="71" spans="1:5" hidden="1" x14ac:dyDescent="0.2">
      <c r="A71" s="15">
        <v>68</v>
      </c>
      <c r="B71" s="32">
        <f t="shared" si="2"/>
        <v>5.9500000000000004E-2</v>
      </c>
      <c r="C71" s="6"/>
    </row>
    <row r="72" spans="1:5" hidden="1" x14ac:dyDescent="0.2">
      <c r="A72" s="15">
        <v>69</v>
      </c>
      <c r="B72" s="32">
        <f t="shared" si="2"/>
        <v>6.1000000000000006E-2</v>
      </c>
      <c r="C72" s="6"/>
    </row>
    <row r="73" spans="1:5" hidden="1" x14ac:dyDescent="0.2">
      <c r="A73" s="15">
        <v>70</v>
      </c>
      <c r="B73" s="32">
        <f t="shared" si="2"/>
        <v>6.25E-2</v>
      </c>
      <c r="C73" s="6"/>
    </row>
    <row r="74" spans="1:5" hidden="1" x14ac:dyDescent="0.2"/>
    <row r="75" spans="1:5" hidden="1" x14ac:dyDescent="0.2">
      <c r="A75" s="56" t="s">
        <v>82</v>
      </c>
      <c r="B75" s="56"/>
      <c r="C75" s="56" t="s">
        <v>11</v>
      </c>
      <c r="D75" s="56" t="s">
        <v>10</v>
      </c>
      <c r="E75" s="56" t="s">
        <v>88</v>
      </c>
    </row>
    <row r="76" spans="1:5" hidden="1" x14ac:dyDescent="0.2">
      <c r="A76" s="56" t="s">
        <v>86</v>
      </c>
      <c r="B76" s="58">
        <f>+C9+C10</f>
        <v>65000</v>
      </c>
      <c r="C76" s="59">
        <v>0.35</v>
      </c>
      <c r="D76" s="58">
        <f>+C76*B76</f>
        <v>22750</v>
      </c>
    </row>
    <row r="77" spans="1:5" hidden="1" x14ac:dyDescent="0.2">
      <c r="A77" s="56" t="s">
        <v>12</v>
      </c>
      <c r="B77" s="58"/>
      <c r="C77" s="56"/>
      <c r="D77" s="58">
        <f>+B39*0.8</f>
        <v>22752</v>
      </c>
    </row>
    <row r="78" spans="1:5" hidden="1" x14ac:dyDescent="0.2">
      <c r="A78" s="56" t="s">
        <v>13</v>
      </c>
      <c r="B78" s="56"/>
      <c r="C78" s="56"/>
      <c r="D78" s="58">
        <f>IF(D76&gt;D77,D77,D76)</f>
        <v>22750</v>
      </c>
    </row>
    <row r="79" spans="1:5" hidden="1" x14ac:dyDescent="0.2">
      <c r="A79" s="56" t="s">
        <v>16</v>
      </c>
      <c r="B79" s="56"/>
      <c r="C79" s="56"/>
      <c r="D79" s="58">
        <f>+B76-D78</f>
        <v>42250</v>
      </c>
    </row>
    <row r="80" spans="1:5" hidden="1" x14ac:dyDescent="0.2">
      <c r="A80" s="56" t="s">
        <v>14</v>
      </c>
      <c r="B80" s="56"/>
      <c r="C80" s="56"/>
      <c r="D80" s="58">
        <f>4*B39</f>
        <v>113760</v>
      </c>
    </row>
    <row r="81" spans="1:4" hidden="1" x14ac:dyDescent="0.2">
      <c r="A81" s="56"/>
      <c r="B81" s="56"/>
      <c r="C81" s="56"/>
      <c r="D81" s="58"/>
    </row>
    <row r="82" spans="1:4" hidden="1" x14ac:dyDescent="0.2">
      <c r="A82" s="56" t="s">
        <v>15</v>
      </c>
      <c r="B82" s="56"/>
      <c r="C82" s="56"/>
      <c r="D82" s="58">
        <f>IF(B76&lt;0.75*B39,0,IF(D79&gt;D80,D80,D79))</f>
        <v>42250</v>
      </c>
    </row>
    <row r="83" spans="1:4" hidden="1" x14ac:dyDescent="0.2">
      <c r="A83" s="51"/>
      <c r="B83" s="51"/>
      <c r="C83" s="51"/>
      <c r="D83" s="51"/>
    </row>
    <row r="84" spans="1:4" hidden="1" x14ac:dyDescent="0.2"/>
  </sheetData>
  <sheetProtection sheet="1" selectLockedCells="1"/>
  <mergeCells count="1">
    <mergeCell ref="C30:D30"/>
  </mergeCells>
  <dataValidations count="3">
    <dataValidation type="list" showDropDown="1" showInputMessage="1" showErrorMessage="1" errorTitle="zwingende Eingabe" error="Folgende Eingaben sind möglich:_x000a_1 für reduziert_x000a_2 für standard_x000a_3 für erhöht" sqref="B12:B13">
      <formula1>Liste_Plaine</formula1>
    </dataValidation>
    <dataValidation type="date" allowBlank="1" showInputMessage="1" showErrorMessage="1" errorTitle="Falsches Datum" error="Sie haben ein Alter ausserhalb der generellen Beitragspflicht" sqref="B5">
      <formula1>16803</formula1>
      <formula2>36525</formula2>
    </dataValidation>
    <dataValidation type="list" allowBlank="1" showInputMessage="1" showErrorMessage="1" error="Nur ganzzahlige Werte zwischen 58 und 70 sind gültig" sqref="B31">
      <formula1>$A$61:$A$73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Footer>&amp;L&amp;8&amp;D&amp;R&amp;8&amp;Z&amp;F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U7" sqref="U7"/>
    </sheetView>
  </sheetViews>
  <sheetFormatPr baseColWidth="10" defaultRowHeight="13.5" x14ac:dyDescent="0.2"/>
  <cols>
    <col min="2" max="5" width="11" style="2"/>
    <col min="6" max="6" width="11" style="19"/>
    <col min="7" max="8" width="11" style="20"/>
    <col min="9" max="9" width="11" style="27"/>
    <col min="10" max="10" width="11" style="30"/>
    <col min="11" max="12" width="11" style="25"/>
    <col min="13" max="13" width="11" style="26"/>
    <col min="14" max="16" width="11" style="25"/>
    <col min="17" max="17" width="3.5" customWidth="1"/>
    <col min="18" max="18" width="11" style="38"/>
    <col min="19" max="19" width="11" style="41"/>
    <col min="20" max="20" width="11" style="40"/>
  </cols>
  <sheetData>
    <row r="1" spans="1:20" s="5" customFormat="1" ht="12.75" x14ac:dyDescent="0.2">
      <c r="A1" s="5" t="s">
        <v>68</v>
      </c>
      <c r="B1" s="8"/>
      <c r="C1" s="8"/>
      <c r="D1" s="8"/>
      <c r="E1" s="8"/>
      <c r="F1" s="18"/>
      <c r="G1" s="18"/>
      <c r="H1" s="18"/>
      <c r="I1" s="28" t="s">
        <v>51</v>
      </c>
      <c r="J1" s="23">
        <f>+'Daten Versicherter'!B54</f>
        <v>30965.25</v>
      </c>
      <c r="K1" s="23" t="s">
        <v>49</v>
      </c>
      <c r="L1" s="23"/>
      <c r="M1" s="24"/>
      <c r="N1" s="23"/>
      <c r="O1" s="23"/>
      <c r="P1" s="23"/>
      <c r="R1" s="42" t="s">
        <v>48</v>
      </c>
      <c r="S1" s="37"/>
      <c r="T1" s="37"/>
    </row>
    <row r="2" spans="1:20" x14ac:dyDescent="0.2">
      <c r="B2" s="9"/>
      <c r="C2" s="9"/>
      <c r="D2" s="9"/>
      <c r="I2" s="27" t="s">
        <v>52</v>
      </c>
      <c r="J2" s="29">
        <f>+'Daten Versicherter'!B13</f>
        <v>1</v>
      </c>
      <c r="R2" s="38" t="s">
        <v>55</v>
      </c>
      <c r="S2" s="39">
        <f>+'Daten Versicherter'!B12</f>
        <v>3</v>
      </c>
    </row>
    <row r="3" spans="1:20" x14ac:dyDescent="0.2">
      <c r="A3" t="s">
        <v>0</v>
      </c>
      <c r="B3" s="2" t="s">
        <v>1</v>
      </c>
      <c r="E3" s="7" t="s">
        <v>3</v>
      </c>
      <c r="F3" s="19" t="s">
        <v>4</v>
      </c>
      <c r="I3" s="27" t="s">
        <v>53</v>
      </c>
      <c r="J3" s="29">
        <f>+'Daten Versicherter'!B6</f>
        <v>34</v>
      </c>
      <c r="R3" s="38" t="s">
        <v>54</v>
      </c>
      <c r="S3" s="39">
        <f>+J3-1</f>
        <v>33</v>
      </c>
    </row>
    <row r="4" spans="1:20" x14ac:dyDescent="0.2">
      <c r="B4" s="7" t="s">
        <v>35</v>
      </c>
      <c r="C4" s="7" t="s">
        <v>2</v>
      </c>
      <c r="D4" s="7" t="s">
        <v>34</v>
      </c>
      <c r="F4" s="21" t="s">
        <v>35</v>
      </c>
      <c r="G4" s="21" t="s">
        <v>2</v>
      </c>
      <c r="H4" s="21" t="s">
        <v>34</v>
      </c>
      <c r="I4" s="27" t="s">
        <v>20</v>
      </c>
      <c r="J4" s="30" t="s">
        <v>22</v>
      </c>
      <c r="K4" s="25" t="s">
        <v>24</v>
      </c>
      <c r="L4" s="25" t="s">
        <v>25</v>
      </c>
      <c r="M4" s="26" t="s">
        <v>27</v>
      </c>
      <c r="N4" s="26" t="s">
        <v>29</v>
      </c>
      <c r="O4" s="26" t="s">
        <v>30</v>
      </c>
      <c r="P4" s="26" t="s">
        <v>31</v>
      </c>
      <c r="R4" s="38" t="s">
        <v>20</v>
      </c>
      <c r="S4" s="41" t="s">
        <v>50</v>
      </c>
      <c r="T4" s="40" t="s">
        <v>56</v>
      </c>
    </row>
    <row r="5" spans="1:20" x14ac:dyDescent="0.2">
      <c r="A5" t="s">
        <v>23</v>
      </c>
      <c r="B5" s="7">
        <v>1</v>
      </c>
      <c r="C5" s="7">
        <v>2</v>
      </c>
      <c r="D5" s="7">
        <v>3</v>
      </c>
      <c r="F5" s="21"/>
      <c r="G5" s="21"/>
      <c r="H5" s="21"/>
      <c r="I5" s="27" t="s">
        <v>32</v>
      </c>
      <c r="R5" s="38" t="s">
        <v>32</v>
      </c>
    </row>
    <row r="6" spans="1:20" x14ac:dyDescent="0.2">
      <c r="A6">
        <v>17</v>
      </c>
      <c r="B6" s="7"/>
      <c r="C6" s="7"/>
      <c r="D6" s="7"/>
      <c r="E6" s="4">
        <v>0.01</v>
      </c>
      <c r="F6" s="22">
        <f t="shared" ref="F6:F8" si="0">+B6+$E6</f>
        <v>0.01</v>
      </c>
      <c r="G6" s="22">
        <f t="shared" ref="G6:G8" si="1">+C6+$E6</f>
        <v>0.01</v>
      </c>
      <c r="H6" s="22">
        <f t="shared" ref="H6:H8" si="2">+D6+$E6</f>
        <v>0.01</v>
      </c>
      <c r="I6" s="27">
        <f>LOOKUP(J$2,'Beitragstabelle neu'!B$5:D$5,'Beitragstabelle neu'!B6:D6)+D6</f>
        <v>0</v>
      </c>
      <c r="J6" s="27">
        <f t="shared" ref="J6:J8" si="3">IF(J$3&gt;A6,0,I6)</f>
        <v>0</v>
      </c>
      <c r="K6" s="25">
        <f>+J6*'Daten Versicherter'!B$16+'Daten Versicherter'!B$16*'Beitragstabelle neu'!D6</f>
        <v>0</v>
      </c>
      <c r="L6" s="25">
        <f t="shared" ref="L6:L8" si="4">IF(A6+1=J$3,J$1,0)</f>
        <v>0</v>
      </c>
      <c r="M6" s="27">
        <f>+'Daten Versicherter'!B$30</f>
        <v>0.01</v>
      </c>
      <c r="N6" s="25">
        <f t="shared" ref="N6:N9" si="5">+N5*M5+N5+L5*M5+L5</f>
        <v>0</v>
      </c>
      <c r="O6" s="25">
        <f t="shared" ref="O6:O9" si="6">+O5+O5*M5+K6</f>
        <v>0</v>
      </c>
      <c r="P6" s="25">
        <f t="shared" ref="P6:P9" si="7">+O6+N6</f>
        <v>0</v>
      </c>
      <c r="R6" s="38">
        <f>LOOKUP(S$2,'Beitragstabelle neu'!B$5:D$5,'Beitragstabelle neu'!B6:D6)+D6</f>
        <v>0</v>
      </c>
      <c r="S6" s="38">
        <f t="shared" ref="S6:S13" si="8">IF(S$3=A6,R6,0)</f>
        <v>0</v>
      </c>
      <c r="T6" s="40">
        <f>+S6*'Daten Versicherter'!$B$16</f>
        <v>0</v>
      </c>
    </row>
    <row r="7" spans="1:20" x14ac:dyDescent="0.2">
      <c r="A7">
        <v>18</v>
      </c>
      <c r="B7" s="7"/>
      <c r="C7" s="7"/>
      <c r="D7" s="7"/>
      <c r="E7" s="4">
        <v>0.01</v>
      </c>
      <c r="F7" s="22">
        <f t="shared" si="0"/>
        <v>0.01</v>
      </c>
      <c r="G7" s="22">
        <f t="shared" si="1"/>
        <v>0.01</v>
      </c>
      <c r="H7" s="22">
        <f t="shared" si="2"/>
        <v>0.01</v>
      </c>
      <c r="I7" s="27">
        <f>LOOKUP(J$2,'Beitragstabelle neu'!B$5:D$5,'Beitragstabelle neu'!B7:D7)+D7</f>
        <v>0</v>
      </c>
      <c r="J7" s="27">
        <f t="shared" si="3"/>
        <v>0</v>
      </c>
      <c r="K7" s="25">
        <f>+J7*'Daten Versicherter'!B$16+'Daten Versicherter'!B$16*'Beitragstabelle neu'!D7</f>
        <v>0</v>
      </c>
      <c r="L7" s="25">
        <f t="shared" si="4"/>
        <v>0</v>
      </c>
      <c r="M7" s="27">
        <f>+'Daten Versicherter'!B$30</f>
        <v>0.01</v>
      </c>
      <c r="N7" s="25">
        <f t="shared" si="5"/>
        <v>0</v>
      </c>
      <c r="O7" s="25">
        <f t="shared" si="6"/>
        <v>0</v>
      </c>
      <c r="P7" s="25">
        <f t="shared" si="7"/>
        <v>0</v>
      </c>
      <c r="R7" s="38">
        <f>LOOKUP(S$2,'Beitragstabelle neu'!B$5:D$5,'Beitragstabelle neu'!B7:D7)+D7</f>
        <v>0</v>
      </c>
      <c r="S7" s="38">
        <f t="shared" si="8"/>
        <v>0</v>
      </c>
      <c r="T7" s="40">
        <f>+S7*'Daten Versicherter'!$B$16</f>
        <v>0</v>
      </c>
    </row>
    <row r="8" spans="1:20" x14ac:dyDescent="0.2">
      <c r="A8">
        <v>19</v>
      </c>
      <c r="B8" s="7"/>
      <c r="C8" s="7"/>
      <c r="D8" s="7"/>
      <c r="E8" s="4">
        <v>0.01</v>
      </c>
      <c r="F8" s="22">
        <f t="shared" si="0"/>
        <v>0.01</v>
      </c>
      <c r="G8" s="22">
        <f t="shared" si="1"/>
        <v>0.01</v>
      </c>
      <c r="H8" s="22">
        <f t="shared" si="2"/>
        <v>0.01</v>
      </c>
      <c r="I8" s="27">
        <f>LOOKUP(J$2,'Beitragstabelle neu'!B$5:D$5,'Beitragstabelle neu'!B8:D8)+D8</f>
        <v>0</v>
      </c>
      <c r="J8" s="27">
        <f t="shared" si="3"/>
        <v>0</v>
      </c>
      <c r="K8" s="25">
        <f>+J8*'Daten Versicherter'!B$16+'Daten Versicherter'!B$16*'Beitragstabelle neu'!D8</f>
        <v>0</v>
      </c>
      <c r="L8" s="25">
        <f t="shared" si="4"/>
        <v>0</v>
      </c>
      <c r="M8" s="27">
        <f>+'Daten Versicherter'!B$30</f>
        <v>0.01</v>
      </c>
      <c r="N8" s="25">
        <f t="shared" si="5"/>
        <v>0</v>
      </c>
      <c r="O8" s="25">
        <f t="shared" si="6"/>
        <v>0</v>
      </c>
      <c r="P8" s="25">
        <f t="shared" si="7"/>
        <v>0</v>
      </c>
      <c r="R8" s="38">
        <f>LOOKUP(S$2,'Beitragstabelle neu'!B$5:D$5,'Beitragstabelle neu'!B8:D8)+D8</f>
        <v>0</v>
      </c>
      <c r="S8" s="38">
        <f t="shared" si="8"/>
        <v>0</v>
      </c>
      <c r="T8" s="40">
        <f>+S8*'Daten Versicherter'!$B$16</f>
        <v>0</v>
      </c>
    </row>
    <row r="9" spans="1:20" x14ac:dyDescent="0.2">
      <c r="A9">
        <v>20</v>
      </c>
      <c r="B9" s="7"/>
      <c r="C9" s="7"/>
      <c r="D9" s="7"/>
      <c r="E9" s="4">
        <v>0.01</v>
      </c>
      <c r="F9" s="22">
        <f>+B9+$E9</f>
        <v>0.01</v>
      </c>
      <c r="G9" s="22">
        <f t="shared" ref="G9" si="9">+C9+$E9</f>
        <v>0.01</v>
      </c>
      <c r="H9" s="22">
        <f t="shared" ref="H9" si="10">+D9+$E9</f>
        <v>0.01</v>
      </c>
      <c r="I9" s="27">
        <f>LOOKUP(J$2,'Beitragstabelle neu'!B$5:D$5,'Beitragstabelle neu'!B9:D9)+D9</f>
        <v>0</v>
      </c>
      <c r="J9" s="27">
        <f t="shared" ref="J9:J16" si="11">IF(J$3&gt;A9,0,I9)</f>
        <v>0</v>
      </c>
      <c r="K9" s="25">
        <f>+J9*'Daten Versicherter'!B$16+'Daten Versicherter'!B$16*'Beitragstabelle neu'!D9</f>
        <v>0</v>
      </c>
      <c r="L9" s="25">
        <f>IF(A9+1=J$3,J$1,0)</f>
        <v>0</v>
      </c>
      <c r="M9" s="27">
        <f>+'Daten Versicherter'!B$30</f>
        <v>0.01</v>
      </c>
      <c r="N9" s="25">
        <f t="shared" si="5"/>
        <v>0</v>
      </c>
      <c r="O9" s="25">
        <f t="shared" si="6"/>
        <v>0</v>
      </c>
      <c r="P9" s="25">
        <f t="shared" si="7"/>
        <v>0</v>
      </c>
      <c r="R9" s="38">
        <f>LOOKUP(S$2,'Beitragstabelle neu'!B$5:D$5,'Beitragstabelle neu'!B9:D9)+D9</f>
        <v>0</v>
      </c>
      <c r="S9" s="38">
        <f t="shared" si="8"/>
        <v>0</v>
      </c>
      <c r="T9" s="40">
        <f>+S9*'Daten Versicherter'!$B$16</f>
        <v>0</v>
      </c>
    </row>
    <row r="10" spans="1:20" x14ac:dyDescent="0.2">
      <c r="A10">
        <v>21</v>
      </c>
      <c r="B10" s="53">
        <v>2.5000000000000001E-2</v>
      </c>
      <c r="C10" s="53">
        <v>2.5000000000000001E-2</v>
      </c>
      <c r="D10" s="53">
        <v>2.5000000000000001E-2</v>
      </c>
      <c r="E10" s="4">
        <v>0.01</v>
      </c>
      <c r="F10" s="22">
        <f t="shared" ref="F10:F13" si="12">+B10+$E10</f>
        <v>3.5000000000000003E-2</v>
      </c>
      <c r="G10" s="22">
        <f t="shared" ref="G10:G13" si="13">+C10+$E10</f>
        <v>3.5000000000000003E-2</v>
      </c>
      <c r="H10" s="22">
        <f t="shared" ref="H10:H13" si="14">+D10+$E10</f>
        <v>3.5000000000000003E-2</v>
      </c>
      <c r="I10" s="27">
        <f>LOOKUP(J$2,'Beitragstabelle neu'!B$5:D$5,'Beitragstabelle neu'!B10:D10)+D10</f>
        <v>0.05</v>
      </c>
      <c r="J10" s="27">
        <f t="shared" si="11"/>
        <v>0</v>
      </c>
      <c r="K10" s="25">
        <f>+J10*'Daten Versicherter'!B$16</f>
        <v>0</v>
      </c>
      <c r="L10" s="25">
        <f t="shared" ref="L10:L59" si="15">IF(A10+1=J$3,J$1,0)</f>
        <v>0</v>
      </c>
      <c r="M10" s="27">
        <f>+'Daten Versicherter'!B$30</f>
        <v>0.01</v>
      </c>
      <c r="N10" s="25">
        <f>+N9*M9+N9+L9*M9+L9</f>
        <v>0</v>
      </c>
      <c r="O10" s="25">
        <f>+O9+O9*M9+K10</f>
        <v>0</v>
      </c>
      <c r="P10" s="25">
        <f>+O10+N10</f>
        <v>0</v>
      </c>
      <c r="R10" s="38">
        <f>LOOKUP(S$2,'Beitragstabelle neu'!B$5:D$5,'Beitragstabelle neu'!B10:D10)+D10</f>
        <v>0.05</v>
      </c>
      <c r="S10" s="38">
        <f t="shared" si="8"/>
        <v>0</v>
      </c>
      <c r="T10" s="40">
        <f>+S10*'Daten Versicherter'!$B$16</f>
        <v>0</v>
      </c>
    </row>
    <row r="11" spans="1:20" x14ac:dyDescent="0.2">
      <c r="A11">
        <v>22</v>
      </c>
      <c r="B11" s="53">
        <v>2.5000000000000001E-2</v>
      </c>
      <c r="C11" s="53">
        <v>2.5000000000000001E-2</v>
      </c>
      <c r="D11" s="53">
        <v>2.5000000000000001E-2</v>
      </c>
      <c r="E11" s="4">
        <v>0.01</v>
      </c>
      <c r="F11" s="22">
        <f t="shared" si="12"/>
        <v>3.5000000000000003E-2</v>
      </c>
      <c r="G11" s="22">
        <f t="shared" si="13"/>
        <v>3.5000000000000003E-2</v>
      </c>
      <c r="H11" s="22">
        <f t="shared" si="14"/>
        <v>3.5000000000000003E-2</v>
      </c>
      <c r="I11" s="27">
        <f>LOOKUP(J$2,'Beitragstabelle neu'!B$5:D$5,'Beitragstabelle neu'!B11:D11)+D11</f>
        <v>0.05</v>
      </c>
      <c r="J11" s="27">
        <f t="shared" si="11"/>
        <v>0</v>
      </c>
      <c r="K11" s="25">
        <f>+J11*'Daten Versicherter'!B$16</f>
        <v>0</v>
      </c>
      <c r="L11" s="25">
        <f t="shared" si="15"/>
        <v>0</v>
      </c>
      <c r="M11" s="27">
        <f>+'Daten Versicherter'!B$30</f>
        <v>0.01</v>
      </c>
      <c r="N11" s="25">
        <f t="shared" ref="N11:N59" si="16">+N10*M10+N10+L10*M10+L10</f>
        <v>0</v>
      </c>
      <c r="O11" s="25">
        <f t="shared" ref="O11:O59" si="17">+O10+O10*M10+K11</f>
        <v>0</v>
      </c>
      <c r="P11" s="25">
        <f t="shared" ref="P11:P59" si="18">+O11+N11</f>
        <v>0</v>
      </c>
      <c r="R11" s="38">
        <f>LOOKUP(S$2,'Beitragstabelle neu'!B$5:D$5,'Beitragstabelle neu'!B11:D11)+D11</f>
        <v>0.05</v>
      </c>
      <c r="S11" s="38">
        <f t="shared" si="8"/>
        <v>0</v>
      </c>
      <c r="T11" s="40">
        <f>+S11*'Daten Versicherter'!$B$16</f>
        <v>0</v>
      </c>
    </row>
    <row r="12" spans="1:20" x14ac:dyDescent="0.2">
      <c r="A12">
        <v>23</v>
      </c>
      <c r="B12" s="53">
        <v>2.5000000000000001E-2</v>
      </c>
      <c r="C12" s="53">
        <v>2.5000000000000001E-2</v>
      </c>
      <c r="D12" s="53">
        <v>2.5000000000000001E-2</v>
      </c>
      <c r="E12" s="4">
        <v>0.01</v>
      </c>
      <c r="F12" s="22">
        <f t="shared" si="12"/>
        <v>3.5000000000000003E-2</v>
      </c>
      <c r="G12" s="22">
        <f t="shared" si="13"/>
        <v>3.5000000000000003E-2</v>
      </c>
      <c r="H12" s="22">
        <f t="shared" si="14"/>
        <v>3.5000000000000003E-2</v>
      </c>
      <c r="I12" s="27">
        <f>LOOKUP(J$2,'Beitragstabelle neu'!B$5:D$5,'Beitragstabelle neu'!B12:D12)+D12</f>
        <v>0.05</v>
      </c>
      <c r="J12" s="27">
        <f t="shared" si="11"/>
        <v>0</v>
      </c>
      <c r="K12" s="25">
        <f>+J12*'Daten Versicherter'!B$16</f>
        <v>0</v>
      </c>
      <c r="L12" s="25">
        <f t="shared" si="15"/>
        <v>0</v>
      </c>
      <c r="M12" s="27">
        <f>+'Daten Versicherter'!B$30</f>
        <v>0.01</v>
      </c>
      <c r="N12" s="25">
        <f t="shared" si="16"/>
        <v>0</v>
      </c>
      <c r="O12" s="25">
        <f t="shared" si="17"/>
        <v>0</v>
      </c>
      <c r="P12" s="25">
        <f t="shared" si="18"/>
        <v>0</v>
      </c>
      <c r="R12" s="38">
        <f>LOOKUP(S$2,'Beitragstabelle neu'!B$5:D$5,'Beitragstabelle neu'!B12:D12)+D12</f>
        <v>0.05</v>
      </c>
      <c r="S12" s="38">
        <f t="shared" si="8"/>
        <v>0</v>
      </c>
      <c r="T12" s="40">
        <f>+S12*'Daten Versicherter'!$B$16</f>
        <v>0</v>
      </c>
    </row>
    <row r="13" spans="1:20" x14ac:dyDescent="0.2">
      <c r="A13">
        <v>24</v>
      </c>
      <c r="B13" s="53">
        <v>2.5000000000000001E-2</v>
      </c>
      <c r="C13" s="53">
        <v>2.5000000000000001E-2</v>
      </c>
      <c r="D13" s="53">
        <v>2.5000000000000001E-2</v>
      </c>
      <c r="E13" s="4">
        <v>0.01</v>
      </c>
      <c r="F13" s="22">
        <f t="shared" si="12"/>
        <v>3.5000000000000003E-2</v>
      </c>
      <c r="G13" s="22">
        <f t="shared" si="13"/>
        <v>3.5000000000000003E-2</v>
      </c>
      <c r="H13" s="22">
        <f t="shared" si="14"/>
        <v>3.5000000000000003E-2</v>
      </c>
      <c r="I13" s="27">
        <f>LOOKUP(J$2,'Beitragstabelle neu'!B$5:D$5,'Beitragstabelle neu'!B13:D13)+D13</f>
        <v>0.05</v>
      </c>
      <c r="J13" s="27">
        <f t="shared" si="11"/>
        <v>0</v>
      </c>
      <c r="K13" s="25">
        <f>+J13*'Daten Versicherter'!B$16</f>
        <v>0</v>
      </c>
      <c r="L13" s="25">
        <f t="shared" si="15"/>
        <v>0</v>
      </c>
      <c r="M13" s="27">
        <f>+'Daten Versicherter'!B$30</f>
        <v>0.01</v>
      </c>
      <c r="N13" s="25">
        <f t="shared" si="16"/>
        <v>0</v>
      </c>
      <c r="O13" s="25">
        <f t="shared" si="17"/>
        <v>0</v>
      </c>
      <c r="P13" s="25">
        <f t="shared" si="18"/>
        <v>0</v>
      </c>
      <c r="R13" s="38">
        <f>LOOKUP(S$2,'Beitragstabelle neu'!B$5:D$5,'Beitragstabelle neu'!B13:D13)+D13</f>
        <v>0.05</v>
      </c>
      <c r="S13" s="38">
        <f t="shared" si="8"/>
        <v>0</v>
      </c>
      <c r="T13" s="40">
        <f>+S13*'Daten Versicherter'!$B$16</f>
        <v>0</v>
      </c>
    </row>
    <row r="14" spans="1:20" x14ac:dyDescent="0.2">
      <c r="A14">
        <v>25</v>
      </c>
      <c r="B14" s="4">
        <v>3.5000000000000003E-2</v>
      </c>
      <c r="C14" s="4">
        <v>5.5E-2</v>
      </c>
      <c r="D14" s="4">
        <v>7.8E-2</v>
      </c>
      <c r="E14" s="4">
        <v>0.01</v>
      </c>
      <c r="F14" s="22">
        <f>+B14+$E14</f>
        <v>4.5000000000000005E-2</v>
      </c>
      <c r="G14" s="22">
        <f t="shared" ref="G14:H14" si="19">+C14+$E14</f>
        <v>6.5000000000000002E-2</v>
      </c>
      <c r="H14" s="22">
        <f t="shared" si="19"/>
        <v>8.7999999999999995E-2</v>
      </c>
      <c r="I14" s="27">
        <f>LOOKUP(J$2,'Beitragstabelle neu'!B$5:D$5,'Beitragstabelle neu'!B14:D14)+D14</f>
        <v>0.113</v>
      </c>
      <c r="J14" s="27">
        <f t="shared" si="11"/>
        <v>0</v>
      </c>
      <c r="K14" s="25">
        <f>+J14*'Daten Versicherter'!B$16</f>
        <v>0</v>
      </c>
      <c r="L14" s="25">
        <f t="shared" si="15"/>
        <v>0</v>
      </c>
      <c r="M14" s="27">
        <f>+'Daten Versicherter'!B$30</f>
        <v>0.01</v>
      </c>
      <c r="N14" s="25">
        <f t="shared" si="16"/>
        <v>0</v>
      </c>
      <c r="O14" s="25">
        <f t="shared" si="17"/>
        <v>0</v>
      </c>
      <c r="P14" s="25">
        <f t="shared" si="18"/>
        <v>0</v>
      </c>
      <c r="R14" s="38">
        <f>LOOKUP(S$2,'Beitragstabelle neu'!B$5:D$5,'Beitragstabelle neu'!B14:D14)+D14</f>
        <v>0.156</v>
      </c>
      <c r="S14" s="38">
        <f>IF(S$3=A14,R14,0)</f>
        <v>0</v>
      </c>
      <c r="T14" s="40">
        <f>+S14*'Daten Versicherter'!$B$16</f>
        <v>0</v>
      </c>
    </row>
    <row r="15" spans="1:20" x14ac:dyDescent="0.2">
      <c r="A15">
        <v>26</v>
      </c>
      <c r="B15" s="4">
        <v>3.6000000000000004E-2</v>
      </c>
      <c r="C15" s="4">
        <v>5.6000000000000001E-2</v>
      </c>
      <c r="D15" s="4">
        <v>7.9500000000000001E-2</v>
      </c>
      <c r="E15" s="4">
        <v>0.01</v>
      </c>
      <c r="F15" s="22">
        <f t="shared" ref="F15:F54" si="20">+B15+$E15</f>
        <v>4.6000000000000006E-2</v>
      </c>
      <c r="G15" s="22">
        <f t="shared" ref="G15:G54" si="21">+C15+$E15</f>
        <v>6.6000000000000003E-2</v>
      </c>
      <c r="H15" s="22">
        <f t="shared" ref="H15:H54" si="22">+D15+$E15</f>
        <v>8.9499999999999996E-2</v>
      </c>
      <c r="I15" s="27">
        <f>LOOKUP(J$2,'Beitragstabelle neu'!B$5:D$5,'Beitragstabelle neu'!B15:D15)+D15</f>
        <v>0.11550000000000001</v>
      </c>
      <c r="J15" s="27">
        <f t="shared" si="11"/>
        <v>0</v>
      </c>
      <c r="K15" s="25">
        <f>+J15*'Daten Versicherter'!B$16</f>
        <v>0</v>
      </c>
      <c r="L15" s="25">
        <f t="shared" si="15"/>
        <v>0</v>
      </c>
      <c r="M15" s="27">
        <f>+'Daten Versicherter'!B$30</f>
        <v>0.01</v>
      </c>
      <c r="N15" s="25">
        <f t="shared" si="16"/>
        <v>0</v>
      </c>
      <c r="O15" s="25">
        <f t="shared" si="17"/>
        <v>0</v>
      </c>
      <c r="P15" s="25">
        <f t="shared" si="18"/>
        <v>0</v>
      </c>
      <c r="R15" s="38">
        <f>LOOKUP(S$2,'Beitragstabelle neu'!B$5:D$5,'Beitragstabelle neu'!B15:D15)+D15</f>
        <v>0.159</v>
      </c>
      <c r="S15" s="38">
        <f t="shared" ref="S15:S59" si="23">IF(S$3=A15,R15,0)</f>
        <v>0</v>
      </c>
      <c r="T15" s="40">
        <f>+S15*'Daten Versicherter'!$B$16</f>
        <v>0</v>
      </c>
    </row>
    <row r="16" spans="1:20" x14ac:dyDescent="0.2">
      <c r="A16">
        <v>27</v>
      </c>
      <c r="B16" s="4">
        <v>3.7000000000000005E-2</v>
      </c>
      <c r="C16" s="4">
        <v>5.7000000000000002E-2</v>
      </c>
      <c r="D16" s="4">
        <v>8.1000000000000003E-2</v>
      </c>
      <c r="E16" s="4">
        <v>0.01</v>
      </c>
      <c r="F16" s="22">
        <f t="shared" si="20"/>
        <v>4.7000000000000007E-2</v>
      </c>
      <c r="G16" s="22">
        <f t="shared" si="21"/>
        <v>6.7000000000000004E-2</v>
      </c>
      <c r="H16" s="22">
        <f t="shared" si="22"/>
        <v>9.0999999999999998E-2</v>
      </c>
      <c r="I16" s="27">
        <f>LOOKUP(J$2,'Beitragstabelle neu'!B$5:D$5,'Beitragstabelle neu'!B16:D16)+D16</f>
        <v>0.11800000000000001</v>
      </c>
      <c r="J16" s="27">
        <f t="shared" si="11"/>
        <v>0</v>
      </c>
      <c r="K16" s="25">
        <f>+J16*'Daten Versicherter'!B$16</f>
        <v>0</v>
      </c>
      <c r="L16" s="25">
        <f t="shared" si="15"/>
        <v>0</v>
      </c>
      <c r="M16" s="27">
        <f>+'Daten Versicherter'!B$30</f>
        <v>0.01</v>
      </c>
      <c r="N16" s="25">
        <f t="shared" si="16"/>
        <v>0</v>
      </c>
      <c r="O16" s="25">
        <f t="shared" si="17"/>
        <v>0</v>
      </c>
      <c r="P16" s="25">
        <f t="shared" si="18"/>
        <v>0</v>
      </c>
      <c r="R16" s="38">
        <f>LOOKUP(S$2,'Beitragstabelle neu'!B$5:D$5,'Beitragstabelle neu'!B16:D16)+D16</f>
        <v>0.16200000000000001</v>
      </c>
      <c r="S16" s="38">
        <f t="shared" si="23"/>
        <v>0</v>
      </c>
      <c r="T16" s="40">
        <f>+S16*'Daten Versicherter'!$B$16</f>
        <v>0</v>
      </c>
    </row>
    <row r="17" spans="1:20" x14ac:dyDescent="0.2">
      <c r="A17">
        <v>28</v>
      </c>
      <c r="B17" s="4">
        <v>3.8000000000000006E-2</v>
      </c>
      <c r="C17" s="4">
        <v>5.8000000000000003E-2</v>
      </c>
      <c r="D17" s="4">
        <v>8.2500000000000004E-2</v>
      </c>
      <c r="E17" s="4">
        <v>0.01</v>
      </c>
      <c r="F17" s="22">
        <f t="shared" si="20"/>
        <v>4.8000000000000008E-2</v>
      </c>
      <c r="G17" s="22">
        <f t="shared" si="21"/>
        <v>6.8000000000000005E-2</v>
      </c>
      <c r="H17" s="22">
        <f t="shared" si="22"/>
        <v>9.2499999999999999E-2</v>
      </c>
      <c r="I17" s="27">
        <f>LOOKUP(J$2,'Beitragstabelle neu'!B$5:D$5,'Beitragstabelle neu'!B17:D17)+D17</f>
        <v>0.12050000000000001</v>
      </c>
      <c r="J17" s="27">
        <f>IF(J$3&gt;A17,0,I17)</f>
        <v>0</v>
      </c>
      <c r="K17" s="25">
        <f>+J17*'Daten Versicherter'!B$16</f>
        <v>0</v>
      </c>
      <c r="L17" s="25">
        <f t="shared" si="15"/>
        <v>0</v>
      </c>
      <c r="M17" s="27">
        <f>+'Daten Versicherter'!B$30</f>
        <v>0.01</v>
      </c>
      <c r="N17" s="25">
        <f t="shared" si="16"/>
        <v>0</v>
      </c>
      <c r="O17" s="25">
        <f t="shared" si="17"/>
        <v>0</v>
      </c>
      <c r="P17" s="25">
        <f t="shared" si="18"/>
        <v>0</v>
      </c>
      <c r="R17" s="38">
        <f>LOOKUP(S$2,'Beitragstabelle neu'!B$5:D$5,'Beitragstabelle neu'!B17:D17)+D17</f>
        <v>0.16500000000000001</v>
      </c>
      <c r="S17" s="38">
        <f t="shared" si="23"/>
        <v>0</v>
      </c>
      <c r="T17" s="40">
        <f>+S17*'Daten Versicherter'!$B$16</f>
        <v>0</v>
      </c>
    </row>
    <row r="18" spans="1:20" x14ac:dyDescent="0.2">
      <c r="A18">
        <v>29</v>
      </c>
      <c r="B18" s="4">
        <v>3.9000000000000007E-2</v>
      </c>
      <c r="C18" s="4">
        <v>5.9000000000000004E-2</v>
      </c>
      <c r="D18" s="4">
        <v>8.4000000000000005E-2</v>
      </c>
      <c r="E18" s="4">
        <v>0.01</v>
      </c>
      <c r="F18" s="22">
        <f t="shared" si="20"/>
        <v>4.9000000000000009E-2</v>
      </c>
      <c r="G18" s="22">
        <f t="shared" si="21"/>
        <v>6.9000000000000006E-2</v>
      </c>
      <c r="H18" s="22">
        <f t="shared" si="22"/>
        <v>9.4E-2</v>
      </c>
      <c r="I18" s="27">
        <f>LOOKUP(J$2,'Beitragstabelle neu'!B$5:D$5,'Beitragstabelle neu'!B18:D18)+D18</f>
        <v>0.12300000000000001</v>
      </c>
      <c r="J18" s="27">
        <f t="shared" ref="J18:J59" si="24">IF(J$3&gt;A18,0,I18)</f>
        <v>0</v>
      </c>
      <c r="K18" s="25">
        <f>+J18*'Daten Versicherter'!B$16</f>
        <v>0</v>
      </c>
      <c r="L18" s="25">
        <f t="shared" si="15"/>
        <v>0</v>
      </c>
      <c r="M18" s="27">
        <f>+'Daten Versicherter'!B$30</f>
        <v>0.01</v>
      </c>
      <c r="N18" s="25">
        <f t="shared" si="16"/>
        <v>0</v>
      </c>
      <c r="O18" s="25">
        <f t="shared" si="17"/>
        <v>0</v>
      </c>
      <c r="P18" s="25">
        <f t="shared" si="18"/>
        <v>0</v>
      </c>
      <c r="R18" s="38">
        <f>LOOKUP(S$2,'Beitragstabelle neu'!B$5:D$5,'Beitragstabelle neu'!B18:D18)+D18</f>
        <v>0.16800000000000001</v>
      </c>
      <c r="S18" s="38">
        <f t="shared" si="23"/>
        <v>0</v>
      </c>
      <c r="T18" s="40">
        <f>+S18*'Daten Versicherter'!$B$16</f>
        <v>0</v>
      </c>
    </row>
    <row r="19" spans="1:20" x14ac:dyDescent="0.2">
      <c r="A19">
        <v>30</v>
      </c>
      <c r="B19" s="4">
        <v>4.0000000000000008E-2</v>
      </c>
      <c r="C19" s="4">
        <v>6.0000000000000005E-2</v>
      </c>
      <c r="D19" s="4">
        <v>8.5000000000000006E-2</v>
      </c>
      <c r="E19" s="4">
        <v>0.01</v>
      </c>
      <c r="F19" s="22">
        <f t="shared" si="20"/>
        <v>5.000000000000001E-2</v>
      </c>
      <c r="G19" s="22">
        <f t="shared" si="21"/>
        <v>7.0000000000000007E-2</v>
      </c>
      <c r="H19" s="22">
        <f t="shared" si="22"/>
        <v>9.5000000000000001E-2</v>
      </c>
      <c r="I19" s="27">
        <f>LOOKUP(J$2,'Beitragstabelle neu'!B$5:D$5,'Beitragstabelle neu'!B19:D19)+D19</f>
        <v>0.125</v>
      </c>
      <c r="J19" s="27">
        <f t="shared" si="24"/>
        <v>0</v>
      </c>
      <c r="K19" s="25">
        <f>+J19*'Daten Versicherter'!B$16</f>
        <v>0</v>
      </c>
      <c r="L19" s="25">
        <f t="shared" si="15"/>
        <v>0</v>
      </c>
      <c r="M19" s="27">
        <f>+'Daten Versicherter'!B$30</f>
        <v>0.01</v>
      </c>
      <c r="N19" s="25">
        <f t="shared" si="16"/>
        <v>0</v>
      </c>
      <c r="O19" s="25">
        <f t="shared" si="17"/>
        <v>0</v>
      </c>
      <c r="P19" s="25">
        <f t="shared" si="18"/>
        <v>0</v>
      </c>
      <c r="R19" s="38">
        <f>LOOKUP(S$2,'Beitragstabelle neu'!B$5:D$5,'Beitragstabelle neu'!B19:D19)+D19</f>
        <v>0.17</v>
      </c>
      <c r="S19" s="38">
        <f t="shared" si="23"/>
        <v>0</v>
      </c>
      <c r="T19" s="40">
        <f>+S19*'Daten Versicherter'!$B$16</f>
        <v>0</v>
      </c>
    </row>
    <row r="20" spans="1:20" x14ac:dyDescent="0.2">
      <c r="A20">
        <v>31</v>
      </c>
      <c r="B20" s="4">
        <v>4.1000000000000009E-2</v>
      </c>
      <c r="C20" s="4">
        <v>6.1000000000000006E-2</v>
      </c>
      <c r="D20" s="4">
        <v>8.6500000000000007E-2</v>
      </c>
      <c r="E20" s="4">
        <v>0.01</v>
      </c>
      <c r="F20" s="22">
        <f t="shared" si="20"/>
        <v>5.1000000000000011E-2</v>
      </c>
      <c r="G20" s="22">
        <f t="shared" si="21"/>
        <v>7.1000000000000008E-2</v>
      </c>
      <c r="H20" s="22">
        <f t="shared" si="22"/>
        <v>9.6500000000000002E-2</v>
      </c>
      <c r="I20" s="27">
        <f>LOOKUP(J$2,'Beitragstabelle neu'!B$5:D$5,'Beitragstabelle neu'!B20:D20)+D20</f>
        <v>0.1275</v>
      </c>
      <c r="J20" s="27">
        <f t="shared" si="24"/>
        <v>0</v>
      </c>
      <c r="K20" s="25">
        <f>+J20*'Daten Versicherter'!B$16</f>
        <v>0</v>
      </c>
      <c r="L20" s="25">
        <f t="shared" si="15"/>
        <v>0</v>
      </c>
      <c r="M20" s="27">
        <f>+'Daten Versicherter'!B$30</f>
        <v>0.01</v>
      </c>
      <c r="N20" s="25">
        <f t="shared" si="16"/>
        <v>0</v>
      </c>
      <c r="O20" s="25">
        <f t="shared" si="17"/>
        <v>0</v>
      </c>
      <c r="P20" s="25">
        <f t="shared" si="18"/>
        <v>0</v>
      </c>
      <c r="R20" s="38">
        <f>LOOKUP(S$2,'Beitragstabelle neu'!B$5:D$5,'Beitragstabelle neu'!B20:D20)+D20</f>
        <v>0.17300000000000001</v>
      </c>
      <c r="S20" s="38">
        <f t="shared" si="23"/>
        <v>0</v>
      </c>
      <c r="T20" s="40">
        <f>+S20*'Daten Versicherter'!$B$16</f>
        <v>0</v>
      </c>
    </row>
    <row r="21" spans="1:20" x14ac:dyDescent="0.2">
      <c r="A21">
        <v>32</v>
      </c>
      <c r="B21" s="4">
        <v>4.200000000000001E-2</v>
      </c>
      <c r="C21" s="4">
        <v>6.2000000000000006E-2</v>
      </c>
      <c r="D21" s="4">
        <v>8.8000000000000009E-2</v>
      </c>
      <c r="E21" s="4">
        <v>0.01</v>
      </c>
      <c r="F21" s="22">
        <f t="shared" si="20"/>
        <v>5.2000000000000011E-2</v>
      </c>
      <c r="G21" s="22">
        <f t="shared" si="21"/>
        <v>7.2000000000000008E-2</v>
      </c>
      <c r="H21" s="22">
        <f t="shared" si="22"/>
        <v>9.8000000000000004E-2</v>
      </c>
      <c r="I21" s="27">
        <f>LOOKUP(J$2,'Beitragstabelle neu'!B$5:D$5,'Beitragstabelle neu'!B21:D21)+D21</f>
        <v>0.13</v>
      </c>
      <c r="J21" s="27">
        <f t="shared" si="24"/>
        <v>0</v>
      </c>
      <c r="K21" s="25">
        <f>+J21*'Daten Versicherter'!B$16</f>
        <v>0</v>
      </c>
      <c r="L21" s="25">
        <f t="shared" si="15"/>
        <v>0</v>
      </c>
      <c r="M21" s="27">
        <f>+'Daten Versicherter'!B$30</f>
        <v>0.01</v>
      </c>
      <c r="N21" s="25">
        <f t="shared" si="16"/>
        <v>0</v>
      </c>
      <c r="O21" s="25">
        <f t="shared" si="17"/>
        <v>0</v>
      </c>
      <c r="P21" s="25">
        <f t="shared" si="18"/>
        <v>0</v>
      </c>
      <c r="R21" s="38">
        <f>LOOKUP(S$2,'Beitragstabelle neu'!B$5:D$5,'Beitragstabelle neu'!B21:D21)+D21</f>
        <v>0.17600000000000002</v>
      </c>
      <c r="S21" s="38">
        <f t="shared" si="23"/>
        <v>0</v>
      </c>
      <c r="T21" s="40">
        <f>+S21*'Daten Versicherter'!$B$16</f>
        <v>0</v>
      </c>
    </row>
    <row r="22" spans="1:20" x14ac:dyDescent="0.2">
      <c r="A22">
        <v>33</v>
      </c>
      <c r="B22" s="4">
        <v>4.300000000000001E-2</v>
      </c>
      <c r="C22" s="4">
        <v>6.3E-2</v>
      </c>
      <c r="D22" s="4">
        <v>8.950000000000001E-2</v>
      </c>
      <c r="E22" s="4">
        <v>0.01</v>
      </c>
      <c r="F22" s="22">
        <f t="shared" si="20"/>
        <v>5.3000000000000012E-2</v>
      </c>
      <c r="G22" s="22">
        <f t="shared" si="21"/>
        <v>7.2999999999999995E-2</v>
      </c>
      <c r="H22" s="22">
        <f t="shared" si="22"/>
        <v>9.9500000000000005E-2</v>
      </c>
      <c r="I22" s="27">
        <f>LOOKUP(J$2,'Beitragstabelle neu'!B$5:D$5,'Beitragstabelle neu'!B22:D22)+D22</f>
        <v>0.13250000000000001</v>
      </c>
      <c r="J22" s="27">
        <f t="shared" si="24"/>
        <v>0</v>
      </c>
      <c r="K22" s="25">
        <f>+J22*'Daten Versicherter'!B$16</f>
        <v>0</v>
      </c>
      <c r="L22" s="25">
        <f t="shared" si="15"/>
        <v>30965.25</v>
      </c>
      <c r="M22" s="27">
        <f>+'Daten Versicherter'!B$30</f>
        <v>0.01</v>
      </c>
      <c r="N22" s="25">
        <f t="shared" si="16"/>
        <v>0</v>
      </c>
      <c r="O22" s="25">
        <f t="shared" si="17"/>
        <v>0</v>
      </c>
      <c r="P22" s="25">
        <f t="shared" si="18"/>
        <v>0</v>
      </c>
      <c r="R22" s="38">
        <f>LOOKUP(S$2,'Beitragstabelle neu'!B$5:D$5,'Beitragstabelle neu'!B22:D22)+D22</f>
        <v>0.17900000000000002</v>
      </c>
      <c r="S22" s="38">
        <f t="shared" si="23"/>
        <v>0.17900000000000002</v>
      </c>
      <c r="T22" s="40">
        <f>+S22*'Daten Versicherter'!$B$16</f>
        <v>8388.8350000000009</v>
      </c>
    </row>
    <row r="23" spans="1:20" x14ac:dyDescent="0.2">
      <c r="A23">
        <v>34</v>
      </c>
      <c r="B23" s="4">
        <v>4.4000000000000011E-2</v>
      </c>
      <c r="C23" s="4">
        <v>6.4000000000000001E-2</v>
      </c>
      <c r="D23" s="4">
        <v>9.1000000000000011E-2</v>
      </c>
      <c r="E23" s="4">
        <v>0.01</v>
      </c>
      <c r="F23" s="22">
        <f t="shared" si="20"/>
        <v>5.4000000000000013E-2</v>
      </c>
      <c r="G23" s="22">
        <f t="shared" si="21"/>
        <v>7.3999999999999996E-2</v>
      </c>
      <c r="H23" s="22">
        <f t="shared" si="22"/>
        <v>0.10100000000000001</v>
      </c>
      <c r="I23" s="27">
        <f>LOOKUP(J$2,'Beitragstabelle neu'!B$5:D$5,'Beitragstabelle neu'!B23:D23)+D23</f>
        <v>0.13500000000000001</v>
      </c>
      <c r="J23" s="27">
        <f t="shared" si="24"/>
        <v>0.13500000000000001</v>
      </c>
      <c r="K23" s="25">
        <f>+J23*'Daten Versicherter'!B$16</f>
        <v>6326.7750000000005</v>
      </c>
      <c r="L23" s="25">
        <f t="shared" si="15"/>
        <v>0</v>
      </c>
      <c r="M23" s="27">
        <f>+'Daten Versicherter'!B$30</f>
        <v>0.01</v>
      </c>
      <c r="N23" s="25">
        <f t="shared" si="16"/>
        <v>31274.9025</v>
      </c>
      <c r="O23" s="25">
        <f t="shared" si="17"/>
        <v>6326.7750000000005</v>
      </c>
      <c r="P23" s="25">
        <f t="shared" si="18"/>
        <v>37601.677499999998</v>
      </c>
      <c r="R23" s="38">
        <f>LOOKUP(S$2,'Beitragstabelle neu'!B$5:D$5,'Beitragstabelle neu'!B23:D23)+D23</f>
        <v>0.18200000000000002</v>
      </c>
      <c r="S23" s="38">
        <f t="shared" si="23"/>
        <v>0</v>
      </c>
      <c r="T23" s="40">
        <f>+S23*'Daten Versicherter'!$B$16</f>
        <v>0</v>
      </c>
    </row>
    <row r="24" spans="1:20" x14ac:dyDescent="0.2">
      <c r="A24">
        <v>35</v>
      </c>
      <c r="B24" s="4">
        <v>4.5000000000000012E-2</v>
      </c>
      <c r="C24" s="4">
        <v>6.5000000000000002E-2</v>
      </c>
      <c r="D24" s="4">
        <v>9.2500000000000013E-2</v>
      </c>
      <c r="E24" s="4">
        <v>0.01</v>
      </c>
      <c r="F24" s="22">
        <f t="shared" si="20"/>
        <v>5.5000000000000014E-2</v>
      </c>
      <c r="G24" s="22">
        <f t="shared" si="21"/>
        <v>7.4999999999999997E-2</v>
      </c>
      <c r="H24" s="22">
        <f t="shared" si="22"/>
        <v>0.10250000000000001</v>
      </c>
      <c r="I24" s="27">
        <f>LOOKUP(J$2,'Beitragstabelle neu'!B$5:D$5,'Beitragstabelle neu'!B24:D24)+D24</f>
        <v>0.13750000000000001</v>
      </c>
      <c r="J24" s="27">
        <f t="shared" si="24"/>
        <v>0.13750000000000001</v>
      </c>
      <c r="K24" s="25">
        <f>+J24*'Daten Versicherter'!B$16</f>
        <v>6443.9375000000009</v>
      </c>
      <c r="L24" s="25">
        <f t="shared" si="15"/>
        <v>0</v>
      </c>
      <c r="M24" s="27">
        <f>+'Daten Versicherter'!B$30</f>
        <v>0.01</v>
      </c>
      <c r="N24" s="25">
        <f t="shared" si="16"/>
        <v>31587.651525000001</v>
      </c>
      <c r="O24" s="25">
        <f t="shared" si="17"/>
        <v>12833.980250000001</v>
      </c>
      <c r="P24" s="25">
        <f t="shared" si="18"/>
        <v>44421.631775000002</v>
      </c>
      <c r="R24" s="38">
        <f>LOOKUP(S$2,'Beitragstabelle neu'!B$5:D$5,'Beitragstabelle neu'!B24:D24)+D24</f>
        <v>0.18500000000000003</v>
      </c>
      <c r="S24" s="38">
        <f t="shared" si="23"/>
        <v>0</v>
      </c>
      <c r="T24" s="40">
        <f>+S24*'Daten Versicherter'!$B$16</f>
        <v>0</v>
      </c>
    </row>
    <row r="25" spans="1:20" x14ac:dyDescent="0.2">
      <c r="A25">
        <v>36</v>
      </c>
      <c r="B25" s="4">
        <v>4.6000000000000013E-2</v>
      </c>
      <c r="C25" s="4">
        <v>6.6000000000000003E-2</v>
      </c>
      <c r="D25" s="4">
        <v>9.3500000000000014E-2</v>
      </c>
      <c r="E25" s="4">
        <v>0.01</v>
      </c>
      <c r="F25" s="22">
        <f t="shared" si="20"/>
        <v>5.6000000000000015E-2</v>
      </c>
      <c r="G25" s="22">
        <f t="shared" si="21"/>
        <v>7.5999999999999998E-2</v>
      </c>
      <c r="H25" s="22">
        <f t="shared" si="22"/>
        <v>0.10350000000000001</v>
      </c>
      <c r="I25" s="27">
        <f>LOOKUP(J$2,'Beitragstabelle neu'!B$5:D$5,'Beitragstabelle neu'!B25:D25)+D25</f>
        <v>0.13950000000000001</v>
      </c>
      <c r="J25" s="27">
        <f t="shared" si="24"/>
        <v>0.13950000000000001</v>
      </c>
      <c r="K25" s="25">
        <f>+J25*'Daten Versicherter'!B$16</f>
        <v>6537.6675000000005</v>
      </c>
      <c r="L25" s="25">
        <f t="shared" si="15"/>
        <v>0</v>
      </c>
      <c r="M25" s="27">
        <f>+'Daten Versicherter'!B$30</f>
        <v>0.01</v>
      </c>
      <c r="N25" s="25">
        <f t="shared" si="16"/>
        <v>31903.528040249999</v>
      </c>
      <c r="O25" s="25">
        <f t="shared" si="17"/>
        <v>19499.987552500002</v>
      </c>
      <c r="P25" s="25">
        <f t="shared" si="18"/>
        <v>51403.515592750002</v>
      </c>
      <c r="R25" s="38">
        <f>LOOKUP(S$2,'Beitragstabelle neu'!B$5:D$5,'Beitragstabelle neu'!B25:D25)+D25</f>
        <v>0.18700000000000003</v>
      </c>
      <c r="S25" s="38">
        <f t="shared" si="23"/>
        <v>0</v>
      </c>
      <c r="T25" s="40">
        <f>+S25*'Daten Versicherter'!$B$16</f>
        <v>0</v>
      </c>
    </row>
    <row r="26" spans="1:20" x14ac:dyDescent="0.2">
      <c r="A26">
        <v>37</v>
      </c>
      <c r="B26" s="4">
        <v>4.7000000000000014E-2</v>
      </c>
      <c r="C26" s="4">
        <v>6.7000000000000004E-2</v>
      </c>
      <c r="D26" s="4">
        <v>9.5000000000000015E-2</v>
      </c>
      <c r="E26" s="4">
        <v>0.01</v>
      </c>
      <c r="F26" s="22">
        <f t="shared" si="20"/>
        <v>5.7000000000000016E-2</v>
      </c>
      <c r="G26" s="22">
        <f t="shared" si="21"/>
        <v>7.6999999999999999E-2</v>
      </c>
      <c r="H26" s="22">
        <f t="shared" si="22"/>
        <v>0.10500000000000001</v>
      </c>
      <c r="I26" s="27">
        <f>LOOKUP(J$2,'Beitragstabelle neu'!B$5:D$5,'Beitragstabelle neu'!B26:D26)+D26</f>
        <v>0.14200000000000002</v>
      </c>
      <c r="J26" s="27">
        <f t="shared" si="24"/>
        <v>0.14200000000000002</v>
      </c>
      <c r="K26" s="25">
        <f>+J26*'Daten Versicherter'!B$16</f>
        <v>6654.8300000000008</v>
      </c>
      <c r="L26" s="25">
        <f t="shared" si="15"/>
        <v>0</v>
      </c>
      <c r="M26" s="27">
        <f>+'Daten Versicherter'!B$30</f>
        <v>0.01</v>
      </c>
      <c r="N26" s="25">
        <f t="shared" si="16"/>
        <v>32222.563320652498</v>
      </c>
      <c r="O26" s="25">
        <f t="shared" si="17"/>
        <v>26349.817428025006</v>
      </c>
      <c r="P26" s="25">
        <f t="shared" si="18"/>
        <v>58572.380748677504</v>
      </c>
      <c r="R26" s="38">
        <f>LOOKUP(S$2,'Beitragstabelle neu'!B$5:D$5,'Beitragstabelle neu'!B26:D26)+D26</f>
        <v>0.19000000000000003</v>
      </c>
      <c r="S26" s="38">
        <f t="shared" si="23"/>
        <v>0</v>
      </c>
      <c r="T26" s="40">
        <f>+S26*'Daten Versicherter'!$B$16</f>
        <v>0</v>
      </c>
    </row>
    <row r="27" spans="1:20" x14ac:dyDescent="0.2">
      <c r="A27">
        <v>38</v>
      </c>
      <c r="B27" s="4">
        <v>4.8000000000000015E-2</v>
      </c>
      <c r="C27" s="4">
        <v>6.8000000000000005E-2</v>
      </c>
      <c r="D27" s="4">
        <v>9.6500000000000016E-2</v>
      </c>
      <c r="E27" s="4">
        <v>0.01</v>
      </c>
      <c r="F27" s="22">
        <f t="shared" si="20"/>
        <v>5.8000000000000017E-2</v>
      </c>
      <c r="G27" s="22">
        <f t="shared" si="21"/>
        <v>7.8E-2</v>
      </c>
      <c r="H27" s="22">
        <f t="shared" si="22"/>
        <v>0.10650000000000001</v>
      </c>
      <c r="I27" s="27">
        <f>LOOKUP(J$2,'Beitragstabelle neu'!B$5:D$5,'Beitragstabelle neu'!B27:D27)+D27</f>
        <v>0.14450000000000002</v>
      </c>
      <c r="J27" s="27">
        <f t="shared" si="24"/>
        <v>0.14450000000000002</v>
      </c>
      <c r="K27" s="25">
        <f>+J27*'Daten Versicherter'!B$16</f>
        <v>6771.9925000000012</v>
      </c>
      <c r="L27" s="25">
        <f t="shared" si="15"/>
        <v>0</v>
      </c>
      <c r="M27" s="27">
        <f>+'Daten Versicherter'!B$30</f>
        <v>0.01</v>
      </c>
      <c r="N27" s="25">
        <f t="shared" si="16"/>
        <v>32544.788953859024</v>
      </c>
      <c r="O27" s="25">
        <f t="shared" si="17"/>
        <v>33385.308102305258</v>
      </c>
      <c r="P27" s="25">
        <f t="shared" si="18"/>
        <v>65930.09705616429</v>
      </c>
      <c r="R27" s="38">
        <f>LOOKUP(S$2,'Beitragstabelle neu'!B$5:D$5,'Beitragstabelle neu'!B27:D27)+D27</f>
        <v>0.19300000000000003</v>
      </c>
      <c r="S27" s="38">
        <f t="shared" si="23"/>
        <v>0</v>
      </c>
      <c r="T27" s="40">
        <f>+S27*'Daten Versicherter'!$B$16</f>
        <v>0</v>
      </c>
    </row>
    <row r="28" spans="1:20" x14ac:dyDescent="0.2">
      <c r="A28">
        <v>39</v>
      </c>
      <c r="B28" s="4">
        <v>4.9000000000000016E-2</v>
      </c>
      <c r="C28" s="4">
        <v>7.0000000000000007E-2</v>
      </c>
      <c r="D28" s="4">
        <v>9.8000000000000018E-2</v>
      </c>
      <c r="E28" s="4">
        <v>0.01</v>
      </c>
      <c r="F28" s="22">
        <f t="shared" si="20"/>
        <v>5.9000000000000018E-2</v>
      </c>
      <c r="G28" s="22">
        <f t="shared" si="21"/>
        <v>0.08</v>
      </c>
      <c r="H28" s="22">
        <f t="shared" si="22"/>
        <v>0.10800000000000001</v>
      </c>
      <c r="I28" s="27">
        <f>LOOKUP(J$2,'Beitragstabelle neu'!B$5:D$5,'Beitragstabelle neu'!B28:D28)+D28</f>
        <v>0.14700000000000002</v>
      </c>
      <c r="J28" s="27">
        <f t="shared" si="24"/>
        <v>0.14700000000000002</v>
      </c>
      <c r="K28" s="25">
        <f>+J28*'Daten Versicherter'!B$16</f>
        <v>6889.1550000000007</v>
      </c>
      <c r="L28" s="25">
        <f t="shared" si="15"/>
        <v>0</v>
      </c>
      <c r="M28" s="27">
        <f>+'Daten Versicherter'!B$30</f>
        <v>0.01</v>
      </c>
      <c r="N28" s="25">
        <f t="shared" si="16"/>
        <v>32870.236843397615</v>
      </c>
      <c r="O28" s="25">
        <f t="shared" si="17"/>
        <v>40608.316183328308</v>
      </c>
      <c r="P28" s="25">
        <f t="shared" si="18"/>
        <v>73478.553026725916</v>
      </c>
      <c r="R28" s="38">
        <f>LOOKUP(S$2,'Beitragstabelle neu'!B$5:D$5,'Beitragstabelle neu'!B28:D28)+D28</f>
        <v>0.19600000000000004</v>
      </c>
      <c r="S28" s="38">
        <f t="shared" si="23"/>
        <v>0</v>
      </c>
      <c r="T28" s="40">
        <f>+S28*'Daten Versicherter'!$B$16</f>
        <v>0</v>
      </c>
    </row>
    <row r="29" spans="1:20" x14ac:dyDescent="0.2">
      <c r="A29">
        <v>40</v>
      </c>
      <c r="B29" s="4">
        <v>5.0000000000000017E-2</v>
      </c>
      <c r="C29" s="4">
        <v>7.1999999999999995E-2</v>
      </c>
      <c r="D29" s="4">
        <v>9.9500000000000019E-2</v>
      </c>
      <c r="E29" s="4">
        <v>0.01</v>
      </c>
      <c r="F29" s="22">
        <f t="shared" si="20"/>
        <v>6.0000000000000019E-2</v>
      </c>
      <c r="G29" s="22">
        <f t="shared" si="21"/>
        <v>8.199999999999999E-2</v>
      </c>
      <c r="H29" s="22">
        <f t="shared" si="22"/>
        <v>0.10950000000000001</v>
      </c>
      <c r="I29" s="27">
        <f>LOOKUP(J$2,'Beitragstabelle neu'!B$5:D$5,'Beitragstabelle neu'!B29:D29)+D29</f>
        <v>0.14950000000000002</v>
      </c>
      <c r="J29" s="27">
        <f t="shared" si="24"/>
        <v>0.14950000000000002</v>
      </c>
      <c r="K29" s="25">
        <f>+J29*'Daten Versicherter'!B$16</f>
        <v>7006.317500000001</v>
      </c>
      <c r="L29" s="25">
        <f t="shared" si="15"/>
        <v>0</v>
      </c>
      <c r="M29" s="27">
        <f>+'Daten Versicherter'!B$30</f>
        <v>0.01</v>
      </c>
      <c r="N29" s="25">
        <f t="shared" si="16"/>
        <v>33198.939211831588</v>
      </c>
      <c r="O29" s="25">
        <f t="shared" si="17"/>
        <v>48020.716845161587</v>
      </c>
      <c r="P29" s="25">
        <f t="shared" si="18"/>
        <v>81219.656056993175</v>
      </c>
      <c r="R29" s="38">
        <f>LOOKUP(S$2,'Beitragstabelle neu'!B$5:D$5,'Beitragstabelle neu'!B29:D29)+D29</f>
        <v>0.19900000000000004</v>
      </c>
      <c r="S29" s="38">
        <f t="shared" si="23"/>
        <v>0</v>
      </c>
      <c r="T29" s="40">
        <f>+S29*'Daten Versicherter'!$B$16</f>
        <v>0</v>
      </c>
    </row>
    <row r="30" spans="1:20" x14ac:dyDescent="0.2">
      <c r="A30">
        <v>41</v>
      </c>
      <c r="B30" s="4">
        <v>5.2000000000000018E-2</v>
      </c>
      <c r="C30" s="4">
        <v>7.3999999999999996E-2</v>
      </c>
      <c r="D30" s="4">
        <v>0.10100000000000002</v>
      </c>
      <c r="E30" s="4">
        <v>0.01</v>
      </c>
      <c r="F30" s="22">
        <f t="shared" si="20"/>
        <v>6.200000000000002E-2</v>
      </c>
      <c r="G30" s="22">
        <f t="shared" si="21"/>
        <v>8.3999999999999991E-2</v>
      </c>
      <c r="H30" s="22">
        <f t="shared" si="22"/>
        <v>0.11100000000000002</v>
      </c>
      <c r="I30" s="27">
        <f>LOOKUP(J$2,'Beitragstabelle neu'!B$5:D$5,'Beitragstabelle neu'!B30:D30)+D30</f>
        <v>0.15300000000000002</v>
      </c>
      <c r="J30" s="27">
        <f t="shared" si="24"/>
        <v>0.15300000000000002</v>
      </c>
      <c r="K30" s="25">
        <f>+J30*'Daten Versicherter'!B$16</f>
        <v>7170.3450000000012</v>
      </c>
      <c r="L30" s="25">
        <f t="shared" si="15"/>
        <v>0</v>
      </c>
      <c r="M30" s="27">
        <f>+'Daten Versicherter'!B$30</f>
        <v>0.01</v>
      </c>
      <c r="N30" s="25">
        <f t="shared" si="16"/>
        <v>33530.928603949906</v>
      </c>
      <c r="O30" s="25">
        <f t="shared" si="17"/>
        <v>55671.269013613201</v>
      </c>
      <c r="P30" s="25">
        <f t="shared" si="18"/>
        <v>89202.197617563099</v>
      </c>
      <c r="R30" s="38">
        <f>LOOKUP(S$2,'Beitragstabelle neu'!B$5:D$5,'Beitragstabelle neu'!B30:D30)+D30</f>
        <v>0.20200000000000004</v>
      </c>
      <c r="S30" s="38">
        <f t="shared" si="23"/>
        <v>0</v>
      </c>
      <c r="T30" s="40">
        <f>+S30*'Daten Versicherter'!$B$16</f>
        <v>0</v>
      </c>
    </row>
    <row r="31" spans="1:20" x14ac:dyDescent="0.2">
      <c r="A31">
        <v>42</v>
      </c>
      <c r="B31" s="4">
        <v>5.400000000000002E-2</v>
      </c>
      <c r="C31" s="4">
        <v>7.5999999999999998E-2</v>
      </c>
      <c r="D31" s="4">
        <v>0.10200000000000002</v>
      </c>
      <c r="E31" s="4">
        <v>0.01</v>
      </c>
      <c r="F31" s="22">
        <f t="shared" si="20"/>
        <v>6.4000000000000015E-2</v>
      </c>
      <c r="G31" s="22">
        <f t="shared" si="21"/>
        <v>8.5999999999999993E-2</v>
      </c>
      <c r="H31" s="22">
        <f t="shared" si="22"/>
        <v>0.11200000000000002</v>
      </c>
      <c r="I31" s="27">
        <f>LOOKUP(J$2,'Beitragstabelle neu'!B$5:D$5,'Beitragstabelle neu'!B31:D31)+D31</f>
        <v>0.15600000000000003</v>
      </c>
      <c r="J31" s="27">
        <f t="shared" si="24"/>
        <v>0.15600000000000003</v>
      </c>
      <c r="K31" s="25">
        <f>+J31*'Daten Versicherter'!B$16</f>
        <v>7310.9400000000014</v>
      </c>
      <c r="L31" s="25">
        <f t="shared" si="15"/>
        <v>0</v>
      </c>
      <c r="M31" s="27">
        <f>+'Daten Versicherter'!B$30</f>
        <v>0.01</v>
      </c>
      <c r="N31" s="25">
        <f t="shared" si="16"/>
        <v>33866.237889989403</v>
      </c>
      <c r="O31" s="25">
        <f t="shared" si="17"/>
        <v>63538.921703749336</v>
      </c>
      <c r="P31" s="25">
        <f t="shared" si="18"/>
        <v>97405.159593738732</v>
      </c>
      <c r="R31" s="38">
        <f>LOOKUP(S$2,'Beitragstabelle neu'!B$5:D$5,'Beitragstabelle neu'!B31:D31)+D31</f>
        <v>0.20400000000000004</v>
      </c>
      <c r="S31" s="38">
        <f t="shared" si="23"/>
        <v>0</v>
      </c>
      <c r="T31" s="40">
        <f>+S31*'Daten Versicherter'!$B$16</f>
        <v>0</v>
      </c>
    </row>
    <row r="32" spans="1:20" x14ac:dyDescent="0.2">
      <c r="A32">
        <v>43</v>
      </c>
      <c r="B32" s="4">
        <v>5.6000000000000022E-2</v>
      </c>
      <c r="C32" s="4">
        <v>7.8E-2</v>
      </c>
      <c r="D32" s="4">
        <v>0.10350000000000002</v>
      </c>
      <c r="E32" s="4">
        <v>0.01</v>
      </c>
      <c r="F32" s="22">
        <f t="shared" si="20"/>
        <v>6.6000000000000017E-2</v>
      </c>
      <c r="G32" s="22">
        <f t="shared" si="21"/>
        <v>8.7999999999999995E-2</v>
      </c>
      <c r="H32" s="22">
        <f t="shared" si="22"/>
        <v>0.11350000000000002</v>
      </c>
      <c r="I32" s="27">
        <f>LOOKUP(J$2,'Beitragstabelle neu'!B$5:D$5,'Beitragstabelle neu'!B32:D32)+D32</f>
        <v>0.15950000000000003</v>
      </c>
      <c r="J32" s="27">
        <f t="shared" si="24"/>
        <v>0.15950000000000003</v>
      </c>
      <c r="K32" s="25">
        <f>+J32*'Daten Versicherter'!B$16</f>
        <v>7474.9675000000016</v>
      </c>
      <c r="L32" s="25">
        <f t="shared" si="15"/>
        <v>0</v>
      </c>
      <c r="M32" s="27">
        <f>+'Daten Versicherter'!B$30</f>
        <v>0.01</v>
      </c>
      <c r="N32" s="25">
        <f t="shared" si="16"/>
        <v>34204.900268889294</v>
      </c>
      <c r="O32" s="25">
        <f t="shared" si="17"/>
        <v>71649.278420786839</v>
      </c>
      <c r="P32" s="25">
        <f t="shared" si="18"/>
        <v>105854.17868967613</v>
      </c>
      <c r="R32" s="38">
        <f>LOOKUP(S$2,'Beitragstabelle neu'!B$5:D$5,'Beitragstabelle neu'!B32:D32)+D32</f>
        <v>0.20700000000000005</v>
      </c>
      <c r="S32" s="38">
        <f t="shared" si="23"/>
        <v>0</v>
      </c>
      <c r="T32" s="40">
        <f>+S32*'Daten Versicherter'!$B$16</f>
        <v>0</v>
      </c>
    </row>
    <row r="33" spans="1:20" x14ac:dyDescent="0.2">
      <c r="A33">
        <v>44</v>
      </c>
      <c r="B33" s="4">
        <v>5.8000000000000024E-2</v>
      </c>
      <c r="C33" s="4">
        <v>0.08</v>
      </c>
      <c r="D33" s="4">
        <v>0.10500000000000002</v>
      </c>
      <c r="E33" s="4">
        <v>0.01</v>
      </c>
      <c r="F33" s="22">
        <f t="shared" si="20"/>
        <v>6.8000000000000019E-2</v>
      </c>
      <c r="G33" s="22">
        <f t="shared" si="21"/>
        <v>0.09</v>
      </c>
      <c r="H33" s="22">
        <f t="shared" si="22"/>
        <v>0.11500000000000002</v>
      </c>
      <c r="I33" s="27">
        <f>LOOKUP(J$2,'Beitragstabelle neu'!B$5:D$5,'Beitragstabelle neu'!B33:D33)+D33</f>
        <v>0.16300000000000003</v>
      </c>
      <c r="J33" s="27">
        <f t="shared" si="24"/>
        <v>0.16300000000000003</v>
      </c>
      <c r="K33" s="25">
        <f>+J33*'Daten Versicherter'!B$16</f>
        <v>7638.9950000000017</v>
      </c>
      <c r="L33" s="25">
        <f t="shared" si="15"/>
        <v>0</v>
      </c>
      <c r="M33" s="27">
        <f>+'Daten Versicherter'!B$30</f>
        <v>0.01</v>
      </c>
      <c r="N33" s="25">
        <f t="shared" si="16"/>
        <v>34546.949271578189</v>
      </c>
      <c r="O33" s="25">
        <f t="shared" si="17"/>
        <v>80004.766204994696</v>
      </c>
      <c r="P33" s="25">
        <f t="shared" si="18"/>
        <v>114551.71547657289</v>
      </c>
      <c r="R33" s="38">
        <f>LOOKUP(S$2,'Beitragstabelle neu'!B$5:D$5,'Beitragstabelle neu'!B33:D33)+D33</f>
        <v>0.21000000000000005</v>
      </c>
      <c r="S33" s="38">
        <f t="shared" si="23"/>
        <v>0</v>
      </c>
      <c r="T33" s="40">
        <f>+S33*'Daten Versicherter'!$B$16</f>
        <v>0</v>
      </c>
    </row>
    <row r="34" spans="1:20" x14ac:dyDescent="0.2">
      <c r="A34">
        <v>45</v>
      </c>
      <c r="B34" s="4">
        <v>6.0000000000000026E-2</v>
      </c>
      <c r="C34" s="4">
        <v>8.2000000000000003E-2</v>
      </c>
      <c r="D34" s="4">
        <v>0.10650000000000003</v>
      </c>
      <c r="E34" s="4">
        <v>0.01</v>
      </c>
      <c r="F34" s="22">
        <f t="shared" si="20"/>
        <v>7.0000000000000021E-2</v>
      </c>
      <c r="G34" s="22">
        <f t="shared" si="21"/>
        <v>9.1999999999999998E-2</v>
      </c>
      <c r="H34" s="22">
        <f t="shared" si="22"/>
        <v>0.11650000000000002</v>
      </c>
      <c r="I34" s="27">
        <f>LOOKUP(J$2,'Beitragstabelle neu'!B$5:D$5,'Beitragstabelle neu'!B34:D34)+D34</f>
        <v>0.16650000000000004</v>
      </c>
      <c r="J34" s="27">
        <f t="shared" si="24"/>
        <v>0.16650000000000004</v>
      </c>
      <c r="K34" s="25">
        <f>+J34*'Daten Versicherter'!B$16</f>
        <v>7803.0225000000019</v>
      </c>
      <c r="L34" s="25">
        <f t="shared" si="15"/>
        <v>0</v>
      </c>
      <c r="M34" s="27">
        <f>+'Daten Versicherter'!B$30</f>
        <v>0.01</v>
      </c>
      <c r="N34" s="25">
        <f t="shared" si="16"/>
        <v>34892.418764293972</v>
      </c>
      <c r="O34" s="25">
        <f t="shared" si="17"/>
        <v>88607.836367044656</v>
      </c>
      <c r="P34" s="25">
        <f t="shared" si="18"/>
        <v>123500.25513133864</v>
      </c>
      <c r="R34" s="38">
        <f>LOOKUP(S$2,'Beitragstabelle neu'!B$5:D$5,'Beitragstabelle neu'!B34:D34)+D34</f>
        <v>0.21300000000000005</v>
      </c>
      <c r="S34" s="38">
        <f t="shared" si="23"/>
        <v>0</v>
      </c>
      <c r="T34" s="40">
        <f>+S34*'Daten Versicherter'!$B$16</f>
        <v>0</v>
      </c>
    </row>
    <row r="35" spans="1:20" x14ac:dyDescent="0.2">
      <c r="A35">
        <v>46</v>
      </c>
      <c r="B35" s="4">
        <v>6.2500000000000028E-2</v>
      </c>
      <c r="C35" s="4">
        <v>8.4000000000000005E-2</v>
      </c>
      <c r="D35" s="4">
        <v>0.10800000000000003</v>
      </c>
      <c r="E35" s="4">
        <v>0.01</v>
      </c>
      <c r="F35" s="22">
        <f t="shared" si="20"/>
        <v>7.2500000000000023E-2</v>
      </c>
      <c r="G35" s="22">
        <f t="shared" si="21"/>
        <v>9.4E-2</v>
      </c>
      <c r="H35" s="22">
        <f t="shared" si="22"/>
        <v>0.11800000000000002</v>
      </c>
      <c r="I35" s="27">
        <f>LOOKUP(J$2,'Beitragstabelle neu'!B$5:D$5,'Beitragstabelle neu'!B35:D35)+D35</f>
        <v>0.17050000000000004</v>
      </c>
      <c r="J35" s="27">
        <f t="shared" si="24"/>
        <v>0.17050000000000004</v>
      </c>
      <c r="K35" s="25">
        <f>+J35*'Daten Versicherter'!B$16</f>
        <v>7990.4825000000019</v>
      </c>
      <c r="L35" s="25">
        <f t="shared" si="15"/>
        <v>0</v>
      </c>
      <c r="M35" s="27">
        <f>+'Daten Versicherter'!B$30</f>
        <v>0.01</v>
      </c>
      <c r="N35" s="25">
        <f t="shared" si="16"/>
        <v>35241.342951936909</v>
      </c>
      <c r="O35" s="25">
        <f t="shared" si="17"/>
        <v>97484.397230715098</v>
      </c>
      <c r="P35" s="25">
        <f t="shared" si="18"/>
        <v>132725.74018265202</v>
      </c>
      <c r="R35" s="38">
        <f>LOOKUP(S$2,'Beitragstabelle neu'!B$5:D$5,'Beitragstabelle neu'!B35:D35)+D35</f>
        <v>0.21600000000000005</v>
      </c>
      <c r="S35" s="38">
        <f t="shared" si="23"/>
        <v>0</v>
      </c>
      <c r="T35" s="40">
        <f>+S35*'Daten Versicherter'!$B$16</f>
        <v>0</v>
      </c>
    </row>
    <row r="36" spans="1:20" x14ac:dyDescent="0.2">
      <c r="A36">
        <v>47</v>
      </c>
      <c r="B36" s="4">
        <v>6.500000000000003E-2</v>
      </c>
      <c r="C36" s="4">
        <v>8.6000000000000007E-2</v>
      </c>
      <c r="D36" s="4">
        <v>0.10950000000000003</v>
      </c>
      <c r="E36" s="4">
        <v>0.01</v>
      </c>
      <c r="F36" s="22">
        <f t="shared" si="20"/>
        <v>7.5000000000000025E-2</v>
      </c>
      <c r="G36" s="22">
        <f t="shared" si="21"/>
        <v>9.6000000000000002E-2</v>
      </c>
      <c r="H36" s="22">
        <f t="shared" si="22"/>
        <v>0.11950000000000002</v>
      </c>
      <c r="I36" s="27">
        <f>LOOKUP(J$2,'Beitragstabelle neu'!B$5:D$5,'Beitragstabelle neu'!B36:D36)+D36</f>
        <v>0.17450000000000004</v>
      </c>
      <c r="J36" s="27">
        <f t="shared" si="24"/>
        <v>0.17450000000000004</v>
      </c>
      <c r="K36" s="25">
        <f>+J36*'Daten Versicherter'!B$16</f>
        <v>8177.9425000000019</v>
      </c>
      <c r="L36" s="25">
        <f t="shared" si="15"/>
        <v>0</v>
      </c>
      <c r="M36" s="27">
        <f>+'Daten Versicherter'!B$30</f>
        <v>0.01</v>
      </c>
      <c r="N36" s="25">
        <f t="shared" si="16"/>
        <v>35593.756381456282</v>
      </c>
      <c r="O36" s="25">
        <f t="shared" si="17"/>
        <v>106637.18370302225</v>
      </c>
      <c r="P36" s="25">
        <f t="shared" si="18"/>
        <v>142230.94008447853</v>
      </c>
      <c r="R36" s="38">
        <f>LOOKUP(S$2,'Beitragstabelle neu'!B$5:D$5,'Beitragstabelle neu'!B36:D36)+D36</f>
        <v>0.21900000000000006</v>
      </c>
      <c r="S36" s="38">
        <f t="shared" si="23"/>
        <v>0</v>
      </c>
      <c r="T36" s="40">
        <f>+S36*'Daten Versicherter'!$B$16</f>
        <v>0</v>
      </c>
    </row>
    <row r="37" spans="1:20" x14ac:dyDescent="0.2">
      <c r="A37">
        <v>48</v>
      </c>
      <c r="B37" s="4">
        <v>6.7000000000000004E-2</v>
      </c>
      <c r="C37" s="4">
        <v>8.8000000000000009E-2</v>
      </c>
      <c r="D37" s="4">
        <v>0.11100000000000003</v>
      </c>
      <c r="E37" s="4">
        <v>0.01</v>
      </c>
      <c r="F37" s="22">
        <f t="shared" si="20"/>
        <v>7.6999999999999999E-2</v>
      </c>
      <c r="G37" s="22">
        <f t="shared" si="21"/>
        <v>9.8000000000000004E-2</v>
      </c>
      <c r="H37" s="22">
        <f t="shared" si="22"/>
        <v>0.12100000000000002</v>
      </c>
      <c r="I37" s="27">
        <f>LOOKUP(J$2,'Beitragstabelle neu'!B$5:D$5,'Beitragstabelle neu'!B37:D37)+D37</f>
        <v>0.17800000000000005</v>
      </c>
      <c r="J37" s="27">
        <f t="shared" si="24"/>
        <v>0.17800000000000005</v>
      </c>
      <c r="K37" s="25">
        <f>+J37*'Daten Versicherter'!B$16</f>
        <v>8341.970000000003</v>
      </c>
      <c r="L37" s="25">
        <f t="shared" si="15"/>
        <v>0</v>
      </c>
      <c r="M37" s="27">
        <f>+'Daten Versicherter'!B$30</f>
        <v>0.01</v>
      </c>
      <c r="N37" s="25">
        <f t="shared" si="16"/>
        <v>35949.693945270847</v>
      </c>
      <c r="O37" s="25">
        <f t="shared" si="17"/>
        <v>116045.52554005248</v>
      </c>
      <c r="P37" s="25">
        <f t="shared" si="18"/>
        <v>151995.21948532332</v>
      </c>
      <c r="R37" s="38">
        <f>LOOKUP(S$2,'Beitragstabelle neu'!B$5:D$5,'Beitragstabelle neu'!B37:D37)+D37</f>
        <v>0.22200000000000006</v>
      </c>
      <c r="S37" s="38">
        <f t="shared" si="23"/>
        <v>0</v>
      </c>
      <c r="T37" s="40">
        <f>+S37*'Daten Versicherter'!$B$16</f>
        <v>0</v>
      </c>
    </row>
    <row r="38" spans="1:20" x14ac:dyDescent="0.2">
      <c r="A38">
        <v>49</v>
      </c>
      <c r="B38" s="4">
        <v>6.9000000000000006E-2</v>
      </c>
      <c r="C38" s="4">
        <v>9.0000000000000011E-2</v>
      </c>
      <c r="D38" s="4">
        <v>0.11200000000000003</v>
      </c>
      <c r="E38" s="4">
        <v>0.01</v>
      </c>
      <c r="F38" s="22">
        <f t="shared" si="20"/>
        <v>7.9000000000000001E-2</v>
      </c>
      <c r="G38" s="22">
        <f t="shared" si="21"/>
        <v>0.1</v>
      </c>
      <c r="H38" s="22">
        <f t="shared" si="22"/>
        <v>0.12200000000000003</v>
      </c>
      <c r="I38" s="27">
        <f>LOOKUP(J$2,'Beitragstabelle neu'!B$5:D$5,'Beitragstabelle neu'!B38:D38)+D38</f>
        <v>0.18100000000000005</v>
      </c>
      <c r="J38" s="27">
        <f t="shared" si="24"/>
        <v>0.18100000000000005</v>
      </c>
      <c r="K38" s="25">
        <f>+J38*'Daten Versicherter'!B$16</f>
        <v>8482.5650000000023</v>
      </c>
      <c r="L38" s="25">
        <f t="shared" si="15"/>
        <v>0</v>
      </c>
      <c r="M38" s="27">
        <f>+'Daten Versicherter'!B$30</f>
        <v>0.01</v>
      </c>
      <c r="N38" s="25">
        <f t="shared" si="16"/>
        <v>36309.190884723554</v>
      </c>
      <c r="O38" s="25">
        <f t="shared" si="17"/>
        <v>125688.545795453</v>
      </c>
      <c r="P38" s="25">
        <f t="shared" si="18"/>
        <v>161997.73668017655</v>
      </c>
      <c r="R38" s="38">
        <f>LOOKUP(S$2,'Beitragstabelle neu'!B$5:D$5,'Beitragstabelle neu'!B38:D38)+D38</f>
        <v>0.22400000000000006</v>
      </c>
      <c r="S38" s="38">
        <f t="shared" si="23"/>
        <v>0</v>
      </c>
      <c r="T38" s="40">
        <f>+S38*'Daten Versicherter'!$B$16</f>
        <v>0</v>
      </c>
    </row>
    <row r="39" spans="1:20" x14ac:dyDescent="0.2">
      <c r="A39">
        <v>50</v>
      </c>
      <c r="B39" s="4">
        <v>7.0000000000000007E-2</v>
      </c>
      <c r="C39" s="4">
        <v>9.2000000000000012E-2</v>
      </c>
      <c r="D39" s="4">
        <v>0.1225</v>
      </c>
      <c r="E39" s="4">
        <v>0.01</v>
      </c>
      <c r="F39" s="22">
        <f t="shared" si="20"/>
        <v>0.08</v>
      </c>
      <c r="G39" s="22">
        <f t="shared" si="21"/>
        <v>0.10200000000000001</v>
      </c>
      <c r="H39" s="22">
        <f t="shared" si="22"/>
        <v>0.13250000000000001</v>
      </c>
      <c r="I39" s="27">
        <f>LOOKUP(J$2,'Beitragstabelle neu'!B$5:D$5,'Beitragstabelle neu'!B39:D39)+D39</f>
        <v>0.1925</v>
      </c>
      <c r="J39" s="27">
        <f t="shared" si="24"/>
        <v>0.1925</v>
      </c>
      <c r="K39" s="25">
        <f>+J39*'Daten Versicherter'!B$16</f>
        <v>9021.5125000000007</v>
      </c>
      <c r="L39" s="25">
        <f t="shared" si="15"/>
        <v>0</v>
      </c>
      <c r="M39" s="27">
        <f>+'Daten Versicherter'!B$30</f>
        <v>0.01</v>
      </c>
      <c r="N39" s="25">
        <f t="shared" si="16"/>
        <v>36672.28279357079</v>
      </c>
      <c r="O39" s="25">
        <f t="shared" si="17"/>
        <v>135966.94375340754</v>
      </c>
      <c r="P39" s="25">
        <f t="shared" si="18"/>
        <v>172639.22654697835</v>
      </c>
      <c r="R39" s="38">
        <f>LOOKUP(S$2,'Beitragstabelle neu'!B$5:D$5,'Beitragstabelle neu'!B39:D39)+D39</f>
        <v>0.245</v>
      </c>
      <c r="S39" s="38">
        <f t="shared" si="23"/>
        <v>0</v>
      </c>
      <c r="T39" s="40">
        <f>+S39*'Daten Versicherter'!$B$16</f>
        <v>0</v>
      </c>
    </row>
    <row r="40" spans="1:20" x14ac:dyDescent="0.2">
      <c r="A40">
        <v>51</v>
      </c>
      <c r="B40" s="4">
        <v>7.0999999999999994E-2</v>
      </c>
      <c r="C40" s="4">
        <v>9.4000000000000014E-2</v>
      </c>
      <c r="D40" s="4">
        <v>0.124</v>
      </c>
      <c r="E40" s="4">
        <v>0.01</v>
      </c>
      <c r="F40" s="22">
        <f t="shared" si="20"/>
        <v>8.0999999999999989E-2</v>
      </c>
      <c r="G40" s="22">
        <f t="shared" si="21"/>
        <v>0.10400000000000001</v>
      </c>
      <c r="H40" s="22">
        <f t="shared" si="22"/>
        <v>0.13400000000000001</v>
      </c>
      <c r="I40" s="27">
        <f>LOOKUP(J$2,'Beitragstabelle neu'!B$5:D$5,'Beitragstabelle neu'!B40:D40)+D40</f>
        <v>0.19500000000000001</v>
      </c>
      <c r="J40" s="27">
        <f t="shared" si="24"/>
        <v>0.19500000000000001</v>
      </c>
      <c r="K40" s="25">
        <f>+J40*'Daten Versicherter'!B$16</f>
        <v>9138.6750000000011</v>
      </c>
      <c r="L40" s="25">
        <f t="shared" si="15"/>
        <v>0</v>
      </c>
      <c r="M40" s="27">
        <f>+'Daten Versicherter'!B$30</f>
        <v>0.01</v>
      </c>
      <c r="N40" s="25">
        <f t="shared" si="16"/>
        <v>37039.005621506498</v>
      </c>
      <c r="O40" s="25">
        <f t="shared" si="17"/>
        <v>146465.28819094162</v>
      </c>
      <c r="P40" s="25">
        <f t="shared" si="18"/>
        <v>183504.2938124481</v>
      </c>
      <c r="R40" s="38">
        <f>LOOKUP(S$2,'Beitragstabelle neu'!B$5:D$5,'Beitragstabelle neu'!B40:D40)+D40</f>
        <v>0.248</v>
      </c>
      <c r="S40" s="38">
        <f t="shared" si="23"/>
        <v>0</v>
      </c>
      <c r="T40" s="40">
        <f>+S40*'Daten Versicherter'!$B$16</f>
        <v>0</v>
      </c>
    </row>
    <row r="41" spans="1:20" x14ac:dyDescent="0.2">
      <c r="A41">
        <v>52</v>
      </c>
      <c r="B41" s="4">
        <v>7.1999999999999995E-2</v>
      </c>
      <c r="C41" s="4">
        <v>9.6000000000000016E-2</v>
      </c>
      <c r="D41" s="4">
        <v>0.1255</v>
      </c>
      <c r="E41" s="4">
        <v>0.01</v>
      </c>
      <c r="F41" s="22">
        <f t="shared" si="20"/>
        <v>8.199999999999999E-2</v>
      </c>
      <c r="G41" s="22">
        <f t="shared" si="21"/>
        <v>0.10600000000000001</v>
      </c>
      <c r="H41" s="22">
        <f t="shared" si="22"/>
        <v>0.13550000000000001</v>
      </c>
      <c r="I41" s="27">
        <f>LOOKUP(J$2,'Beitragstabelle neu'!B$5:D$5,'Beitragstabelle neu'!B41:D41)+D41</f>
        <v>0.19750000000000001</v>
      </c>
      <c r="J41" s="27">
        <f t="shared" si="24"/>
        <v>0.19750000000000001</v>
      </c>
      <c r="K41" s="25">
        <f>+J41*'Daten Versicherter'!B$16</f>
        <v>9255.8374999999996</v>
      </c>
      <c r="L41" s="25">
        <f t="shared" si="15"/>
        <v>0</v>
      </c>
      <c r="M41" s="27">
        <f>+'Daten Versicherter'!B$30</f>
        <v>0.01</v>
      </c>
      <c r="N41" s="25">
        <f t="shared" si="16"/>
        <v>37409.395677721564</v>
      </c>
      <c r="O41" s="25">
        <f t="shared" si="17"/>
        <v>157185.77857285104</v>
      </c>
      <c r="P41" s="25">
        <f t="shared" si="18"/>
        <v>194595.1742505726</v>
      </c>
      <c r="R41" s="38">
        <f>LOOKUP(S$2,'Beitragstabelle neu'!B$5:D$5,'Beitragstabelle neu'!B41:D41)+D41</f>
        <v>0.251</v>
      </c>
      <c r="S41" s="38">
        <f t="shared" si="23"/>
        <v>0</v>
      </c>
      <c r="T41" s="40">
        <f>+S41*'Daten Versicherter'!$B$16</f>
        <v>0</v>
      </c>
    </row>
    <row r="42" spans="1:20" x14ac:dyDescent="0.2">
      <c r="A42">
        <v>53</v>
      </c>
      <c r="B42" s="4">
        <v>7.2999999999999995E-2</v>
      </c>
      <c r="C42" s="4">
        <v>9.8000000000000018E-2</v>
      </c>
      <c r="D42" s="4">
        <v>0.127</v>
      </c>
      <c r="E42" s="4">
        <v>0.01</v>
      </c>
      <c r="F42" s="22">
        <f t="shared" si="20"/>
        <v>8.299999999999999E-2</v>
      </c>
      <c r="G42" s="22">
        <f t="shared" si="21"/>
        <v>0.10800000000000001</v>
      </c>
      <c r="H42" s="22">
        <f t="shared" si="22"/>
        <v>0.13700000000000001</v>
      </c>
      <c r="I42" s="27">
        <f>LOOKUP(J$2,'Beitragstabelle neu'!B$5:D$5,'Beitragstabelle neu'!B42:D42)+D42</f>
        <v>0.2</v>
      </c>
      <c r="J42" s="27">
        <f t="shared" si="24"/>
        <v>0.2</v>
      </c>
      <c r="K42" s="25">
        <f>+J42*'Daten Versicherter'!B$16</f>
        <v>9373</v>
      </c>
      <c r="L42" s="25">
        <f t="shared" si="15"/>
        <v>0</v>
      </c>
      <c r="M42" s="27">
        <f>+'Daten Versicherter'!B$30</f>
        <v>0.01</v>
      </c>
      <c r="N42" s="25">
        <f t="shared" si="16"/>
        <v>37783.489634498779</v>
      </c>
      <c r="O42" s="25">
        <f t="shared" si="17"/>
        <v>168130.63635857953</v>
      </c>
      <c r="P42" s="25">
        <f t="shared" si="18"/>
        <v>205914.12599307831</v>
      </c>
      <c r="R42" s="38">
        <f>LOOKUP(S$2,'Beitragstabelle neu'!B$5:D$5,'Beitragstabelle neu'!B42:D42)+D42</f>
        <v>0.254</v>
      </c>
      <c r="S42" s="38">
        <f t="shared" si="23"/>
        <v>0</v>
      </c>
      <c r="T42" s="40">
        <f>+S42*'Daten Versicherter'!$B$16</f>
        <v>0</v>
      </c>
    </row>
    <row r="43" spans="1:20" x14ac:dyDescent="0.2">
      <c r="A43">
        <v>54</v>
      </c>
      <c r="B43" s="4">
        <v>7.3999999999999996E-2</v>
      </c>
      <c r="C43" s="4">
        <v>0.10000000000000002</v>
      </c>
      <c r="D43" s="4">
        <v>0.1285</v>
      </c>
      <c r="E43" s="4">
        <v>0.01</v>
      </c>
      <c r="F43" s="22">
        <f t="shared" si="20"/>
        <v>8.3999999999999991E-2</v>
      </c>
      <c r="G43" s="22">
        <f t="shared" si="21"/>
        <v>0.11000000000000001</v>
      </c>
      <c r="H43" s="22">
        <f t="shared" si="22"/>
        <v>0.13850000000000001</v>
      </c>
      <c r="I43" s="27">
        <f>LOOKUP(J$2,'Beitragstabelle neu'!B$5:D$5,'Beitragstabelle neu'!B43:D43)+D43</f>
        <v>0.20250000000000001</v>
      </c>
      <c r="J43" s="27">
        <f t="shared" si="24"/>
        <v>0.20250000000000001</v>
      </c>
      <c r="K43" s="25">
        <f>+J43*'Daten Versicherter'!B$16</f>
        <v>9490.1625000000004</v>
      </c>
      <c r="L43" s="25">
        <f t="shared" si="15"/>
        <v>0</v>
      </c>
      <c r="M43" s="27">
        <f>+'Daten Versicherter'!B$30</f>
        <v>0.01</v>
      </c>
      <c r="N43" s="25">
        <f t="shared" si="16"/>
        <v>38161.324530843769</v>
      </c>
      <c r="O43" s="25">
        <f t="shared" si="17"/>
        <v>179302.10522216532</v>
      </c>
      <c r="P43" s="25">
        <f t="shared" si="18"/>
        <v>217463.42975300908</v>
      </c>
      <c r="R43" s="38">
        <f>LOOKUP(S$2,'Beitragstabelle neu'!B$5:D$5,'Beitragstabelle neu'!B43:D43)+D43</f>
        <v>0.25700000000000001</v>
      </c>
      <c r="S43" s="38">
        <f t="shared" si="23"/>
        <v>0</v>
      </c>
      <c r="T43" s="40">
        <f>+S43*'Daten Versicherter'!$B$16</f>
        <v>0</v>
      </c>
    </row>
    <row r="44" spans="1:20" x14ac:dyDescent="0.2">
      <c r="A44">
        <v>55</v>
      </c>
      <c r="B44" s="4">
        <v>7.4999999999999997E-2</v>
      </c>
      <c r="C44" s="4">
        <v>0.1</v>
      </c>
      <c r="D44" s="4">
        <v>0.13</v>
      </c>
      <c r="E44" s="4">
        <v>0.01</v>
      </c>
      <c r="F44" s="22">
        <f t="shared" si="20"/>
        <v>8.4999999999999992E-2</v>
      </c>
      <c r="G44" s="22">
        <f t="shared" si="21"/>
        <v>0.11</v>
      </c>
      <c r="H44" s="22">
        <f t="shared" si="22"/>
        <v>0.14000000000000001</v>
      </c>
      <c r="I44" s="27">
        <f>LOOKUP(J$2,'Beitragstabelle neu'!B$5:D$5,'Beitragstabelle neu'!B44:D44)+D44</f>
        <v>0.20500000000000002</v>
      </c>
      <c r="J44" s="27">
        <f t="shared" si="24"/>
        <v>0.20500000000000002</v>
      </c>
      <c r="K44" s="25">
        <f>+J44*'Daten Versicherter'!B$16</f>
        <v>9607.3250000000007</v>
      </c>
      <c r="L44" s="25">
        <f t="shared" si="15"/>
        <v>0</v>
      </c>
      <c r="M44" s="27">
        <f>+'Daten Versicherter'!B$30</f>
        <v>0.01</v>
      </c>
      <c r="N44" s="25">
        <f t="shared" si="16"/>
        <v>38542.937776152205</v>
      </c>
      <c r="O44" s="25">
        <f t="shared" si="17"/>
        <v>190702.45127438699</v>
      </c>
      <c r="P44" s="25">
        <f t="shared" si="18"/>
        <v>229245.38905053918</v>
      </c>
      <c r="R44" s="38">
        <f>LOOKUP(S$2,'Beitragstabelle neu'!B$5:D$5,'Beitragstabelle neu'!B44:D44)+D44</f>
        <v>0.26</v>
      </c>
      <c r="S44" s="38">
        <f t="shared" si="23"/>
        <v>0</v>
      </c>
      <c r="T44" s="40">
        <f>+S44*'Daten Versicherter'!$B$16</f>
        <v>0</v>
      </c>
    </row>
    <row r="45" spans="1:20" x14ac:dyDescent="0.2">
      <c r="A45">
        <v>56</v>
      </c>
      <c r="B45" s="4">
        <v>7.4999999999999997E-2</v>
      </c>
      <c r="C45" s="4">
        <v>0.1</v>
      </c>
      <c r="D45" s="4">
        <v>0.13</v>
      </c>
      <c r="E45" s="4">
        <v>0.01</v>
      </c>
      <c r="F45" s="22">
        <f t="shared" si="20"/>
        <v>8.4999999999999992E-2</v>
      </c>
      <c r="G45" s="22">
        <f t="shared" si="21"/>
        <v>0.11</v>
      </c>
      <c r="H45" s="22">
        <f t="shared" si="22"/>
        <v>0.14000000000000001</v>
      </c>
      <c r="I45" s="27">
        <f>LOOKUP(J$2,'Beitragstabelle neu'!B$5:D$5,'Beitragstabelle neu'!B45:D45)+D45</f>
        <v>0.20500000000000002</v>
      </c>
      <c r="J45" s="27">
        <f t="shared" si="24"/>
        <v>0.20500000000000002</v>
      </c>
      <c r="K45" s="25">
        <f>+J45*'Daten Versicherter'!B$16</f>
        <v>9607.3250000000007</v>
      </c>
      <c r="L45" s="25">
        <f t="shared" si="15"/>
        <v>0</v>
      </c>
      <c r="M45" s="27">
        <f>+'Daten Versicherter'!B$30</f>
        <v>0.01</v>
      </c>
      <c r="N45" s="25">
        <f t="shared" si="16"/>
        <v>38928.367153913729</v>
      </c>
      <c r="O45" s="25">
        <f t="shared" si="17"/>
        <v>202216.80078713087</v>
      </c>
      <c r="P45" s="25">
        <f t="shared" si="18"/>
        <v>241145.16794104461</v>
      </c>
      <c r="R45" s="38">
        <f>LOOKUP(S$2,'Beitragstabelle neu'!B$5:D$5,'Beitragstabelle neu'!B45:D45)+D45</f>
        <v>0.26</v>
      </c>
      <c r="S45" s="38">
        <f t="shared" si="23"/>
        <v>0</v>
      </c>
      <c r="T45" s="40">
        <f>+S45*'Daten Versicherter'!$B$16</f>
        <v>0</v>
      </c>
    </row>
    <row r="46" spans="1:20" x14ac:dyDescent="0.2">
      <c r="A46">
        <v>57</v>
      </c>
      <c r="B46" s="4">
        <v>7.4999999999999997E-2</v>
      </c>
      <c r="C46" s="4">
        <v>0.1</v>
      </c>
      <c r="D46" s="4">
        <v>0.13</v>
      </c>
      <c r="E46" s="4">
        <v>0.01</v>
      </c>
      <c r="F46" s="22">
        <f t="shared" si="20"/>
        <v>8.4999999999999992E-2</v>
      </c>
      <c r="G46" s="22">
        <f t="shared" si="21"/>
        <v>0.11</v>
      </c>
      <c r="H46" s="22">
        <f t="shared" si="22"/>
        <v>0.14000000000000001</v>
      </c>
      <c r="I46" s="27">
        <f>LOOKUP(J$2,'Beitragstabelle neu'!B$5:D$5,'Beitragstabelle neu'!B46:D46)+D46</f>
        <v>0.20500000000000002</v>
      </c>
      <c r="J46" s="27">
        <f t="shared" si="24"/>
        <v>0.20500000000000002</v>
      </c>
      <c r="K46" s="25">
        <f>+J46*'Daten Versicherter'!B$16</f>
        <v>9607.3250000000007</v>
      </c>
      <c r="L46" s="25">
        <f t="shared" si="15"/>
        <v>0</v>
      </c>
      <c r="M46" s="27">
        <f>+'Daten Versicherter'!B$30</f>
        <v>0.01</v>
      </c>
      <c r="N46" s="25">
        <f t="shared" si="16"/>
        <v>39317.650825452867</v>
      </c>
      <c r="O46" s="25">
        <f t="shared" si="17"/>
        <v>213846.29379500219</v>
      </c>
      <c r="P46" s="25">
        <f t="shared" si="18"/>
        <v>253163.94462045506</v>
      </c>
      <c r="R46" s="38">
        <f>LOOKUP(S$2,'Beitragstabelle neu'!B$5:D$5,'Beitragstabelle neu'!B46:D46)+D46</f>
        <v>0.26</v>
      </c>
      <c r="S46" s="38">
        <f t="shared" si="23"/>
        <v>0</v>
      </c>
      <c r="T46" s="40">
        <f>+S46*'Daten Versicherter'!$B$16</f>
        <v>0</v>
      </c>
    </row>
    <row r="47" spans="1:20" x14ac:dyDescent="0.2">
      <c r="A47">
        <v>58</v>
      </c>
      <c r="B47" s="4">
        <v>7.4999999999999997E-2</v>
      </c>
      <c r="C47" s="4">
        <v>0.1</v>
      </c>
      <c r="D47" s="4">
        <v>0.13</v>
      </c>
      <c r="E47" s="4">
        <v>0.01</v>
      </c>
      <c r="F47" s="22">
        <f t="shared" si="20"/>
        <v>8.4999999999999992E-2</v>
      </c>
      <c r="G47" s="22">
        <f t="shared" si="21"/>
        <v>0.11</v>
      </c>
      <c r="H47" s="22">
        <f t="shared" si="22"/>
        <v>0.14000000000000001</v>
      </c>
      <c r="I47" s="27">
        <f>LOOKUP(J$2,'Beitragstabelle neu'!B$5:D$5,'Beitragstabelle neu'!B47:D47)+D47</f>
        <v>0.20500000000000002</v>
      </c>
      <c r="J47" s="27">
        <f t="shared" si="24"/>
        <v>0.20500000000000002</v>
      </c>
      <c r="K47" s="25">
        <f>+J47*'Daten Versicherter'!B$16</f>
        <v>9607.3250000000007</v>
      </c>
      <c r="L47" s="25">
        <f t="shared" si="15"/>
        <v>0</v>
      </c>
      <c r="M47" s="27">
        <f>+'Daten Versicherter'!B$30</f>
        <v>0.01</v>
      </c>
      <c r="N47" s="25">
        <f t="shared" si="16"/>
        <v>39710.827333707399</v>
      </c>
      <c r="O47" s="25">
        <f t="shared" si="17"/>
        <v>225592.08173295221</v>
      </c>
      <c r="P47" s="25">
        <f t="shared" si="18"/>
        <v>265302.90906665963</v>
      </c>
      <c r="R47" s="38">
        <f>LOOKUP(S$2,'Beitragstabelle neu'!B$5:D$5,'Beitragstabelle neu'!B47:D47)+D47</f>
        <v>0.26</v>
      </c>
      <c r="S47" s="38">
        <f t="shared" si="23"/>
        <v>0</v>
      </c>
      <c r="T47" s="40">
        <f>+S47*'Daten Versicherter'!$B$16</f>
        <v>0</v>
      </c>
    </row>
    <row r="48" spans="1:20" x14ac:dyDescent="0.2">
      <c r="A48">
        <v>59</v>
      </c>
      <c r="B48" s="4">
        <v>7.4999999999999997E-2</v>
      </c>
      <c r="C48" s="4">
        <v>0.1</v>
      </c>
      <c r="D48" s="4">
        <v>0.13</v>
      </c>
      <c r="E48" s="4">
        <v>0.01</v>
      </c>
      <c r="F48" s="22">
        <f t="shared" si="20"/>
        <v>8.4999999999999992E-2</v>
      </c>
      <c r="G48" s="22">
        <f t="shared" si="21"/>
        <v>0.11</v>
      </c>
      <c r="H48" s="22">
        <f t="shared" si="22"/>
        <v>0.14000000000000001</v>
      </c>
      <c r="I48" s="27">
        <f>LOOKUP(J$2,'Beitragstabelle neu'!B$5:D$5,'Beitragstabelle neu'!B48:D48)+D48</f>
        <v>0.20500000000000002</v>
      </c>
      <c r="J48" s="27">
        <f t="shared" si="24"/>
        <v>0.20500000000000002</v>
      </c>
      <c r="K48" s="25">
        <f>+J48*'Daten Versicherter'!B$16</f>
        <v>9607.3250000000007</v>
      </c>
      <c r="L48" s="25">
        <f t="shared" si="15"/>
        <v>0</v>
      </c>
      <c r="M48" s="27">
        <f>+'Daten Versicherter'!B$30</f>
        <v>0.01</v>
      </c>
      <c r="N48" s="25">
        <f t="shared" si="16"/>
        <v>40107.93560704447</v>
      </c>
      <c r="O48" s="25">
        <f t="shared" si="17"/>
        <v>237455.32755028174</v>
      </c>
      <c r="P48" s="25">
        <f t="shared" si="18"/>
        <v>277563.2631573262</v>
      </c>
      <c r="R48" s="38">
        <f>LOOKUP(S$2,'Beitragstabelle neu'!B$5:D$5,'Beitragstabelle neu'!B48:D48)+D48</f>
        <v>0.26</v>
      </c>
      <c r="S48" s="38">
        <f t="shared" si="23"/>
        <v>0</v>
      </c>
      <c r="T48" s="40">
        <f>+S48*'Daten Versicherter'!$B$16</f>
        <v>0</v>
      </c>
    </row>
    <row r="49" spans="1:20" x14ac:dyDescent="0.2">
      <c r="A49">
        <v>60</v>
      </c>
      <c r="B49" s="4">
        <v>7.4999999999999997E-2</v>
      </c>
      <c r="C49" s="4">
        <v>0.1</v>
      </c>
      <c r="D49" s="4">
        <v>0.13</v>
      </c>
      <c r="E49" s="4">
        <v>0.01</v>
      </c>
      <c r="F49" s="22">
        <f t="shared" si="20"/>
        <v>8.4999999999999992E-2</v>
      </c>
      <c r="G49" s="22">
        <f t="shared" si="21"/>
        <v>0.11</v>
      </c>
      <c r="H49" s="22">
        <f t="shared" si="22"/>
        <v>0.14000000000000001</v>
      </c>
      <c r="I49" s="27">
        <f>LOOKUP(J$2,'Beitragstabelle neu'!B$5:D$5,'Beitragstabelle neu'!B49:D49)+D49</f>
        <v>0.20500000000000002</v>
      </c>
      <c r="J49" s="27">
        <f t="shared" si="24"/>
        <v>0.20500000000000002</v>
      </c>
      <c r="K49" s="25">
        <f>+J49*'Daten Versicherter'!B$16</f>
        <v>9607.3250000000007</v>
      </c>
      <c r="L49" s="25">
        <f t="shared" si="15"/>
        <v>0</v>
      </c>
      <c r="M49" s="27">
        <f>+'Daten Versicherter'!B$30</f>
        <v>0.01</v>
      </c>
      <c r="N49" s="25">
        <f t="shared" si="16"/>
        <v>40509.014963114918</v>
      </c>
      <c r="O49" s="25">
        <f t="shared" si="17"/>
        <v>249437.20582578456</v>
      </c>
      <c r="P49" s="25">
        <f t="shared" si="18"/>
        <v>289946.22078889946</v>
      </c>
      <c r="R49" s="38">
        <f>LOOKUP(S$2,'Beitragstabelle neu'!B$5:D$5,'Beitragstabelle neu'!B49:D49)+D49</f>
        <v>0.26</v>
      </c>
      <c r="S49" s="38">
        <f t="shared" si="23"/>
        <v>0</v>
      </c>
      <c r="T49" s="40">
        <f>+S49*'Daten Versicherter'!$B$16</f>
        <v>0</v>
      </c>
    </row>
    <row r="50" spans="1:20" x14ac:dyDescent="0.2">
      <c r="A50">
        <v>61</v>
      </c>
      <c r="B50" s="4">
        <v>7.4999999999999997E-2</v>
      </c>
      <c r="C50" s="4">
        <v>0.1</v>
      </c>
      <c r="D50" s="4">
        <v>0.13</v>
      </c>
      <c r="E50" s="4">
        <v>0.01</v>
      </c>
      <c r="F50" s="22">
        <f t="shared" si="20"/>
        <v>8.4999999999999992E-2</v>
      </c>
      <c r="G50" s="22">
        <f t="shared" si="21"/>
        <v>0.11</v>
      </c>
      <c r="H50" s="22">
        <f t="shared" si="22"/>
        <v>0.14000000000000001</v>
      </c>
      <c r="I50" s="27">
        <f>LOOKUP(J$2,'Beitragstabelle neu'!B$5:D$5,'Beitragstabelle neu'!B50:D50)+D50</f>
        <v>0.20500000000000002</v>
      </c>
      <c r="J50" s="27">
        <f t="shared" si="24"/>
        <v>0.20500000000000002</v>
      </c>
      <c r="K50" s="25">
        <f>+J50*'Daten Versicherter'!B$16</f>
        <v>9607.3250000000007</v>
      </c>
      <c r="L50" s="25">
        <f t="shared" si="15"/>
        <v>0</v>
      </c>
      <c r="M50" s="27">
        <f>+'Daten Versicherter'!B$30</f>
        <v>0.01</v>
      </c>
      <c r="N50" s="25">
        <f t="shared" si="16"/>
        <v>40914.105112746067</v>
      </c>
      <c r="O50" s="25">
        <f t="shared" si="17"/>
        <v>261538.90288404241</v>
      </c>
      <c r="P50" s="25">
        <f t="shared" si="18"/>
        <v>302453.00799678848</v>
      </c>
      <c r="R50" s="38">
        <f>LOOKUP(S$2,'Beitragstabelle neu'!B$5:D$5,'Beitragstabelle neu'!B50:D50)+D50</f>
        <v>0.26</v>
      </c>
      <c r="S50" s="38">
        <f t="shared" si="23"/>
        <v>0</v>
      </c>
      <c r="T50" s="40">
        <f>+S50*'Daten Versicherter'!$B$16</f>
        <v>0</v>
      </c>
    </row>
    <row r="51" spans="1:20" x14ac:dyDescent="0.2">
      <c r="A51">
        <v>62</v>
      </c>
      <c r="B51" s="4">
        <v>7.4999999999999997E-2</v>
      </c>
      <c r="C51" s="4">
        <v>0.1</v>
      </c>
      <c r="D51" s="4">
        <v>0.13</v>
      </c>
      <c r="E51" s="4">
        <v>0.01</v>
      </c>
      <c r="F51" s="22">
        <f t="shared" si="20"/>
        <v>8.4999999999999992E-2</v>
      </c>
      <c r="G51" s="22">
        <f t="shared" si="21"/>
        <v>0.11</v>
      </c>
      <c r="H51" s="22">
        <f t="shared" si="22"/>
        <v>0.14000000000000001</v>
      </c>
      <c r="I51" s="27">
        <f>LOOKUP(J$2,'Beitragstabelle neu'!B$5:D$5,'Beitragstabelle neu'!B51:D51)+D51</f>
        <v>0.20500000000000002</v>
      </c>
      <c r="J51" s="27">
        <f t="shared" si="24"/>
        <v>0.20500000000000002</v>
      </c>
      <c r="K51" s="25">
        <f>+J51*'Daten Versicherter'!B$16</f>
        <v>9607.3250000000007</v>
      </c>
      <c r="L51" s="25">
        <f t="shared" si="15"/>
        <v>0</v>
      </c>
      <c r="M51" s="27">
        <f>+'Daten Versicherter'!B$30</f>
        <v>0.01</v>
      </c>
      <c r="N51" s="25">
        <f t="shared" si="16"/>
        <v>41323.246163873526</v>
      </c>
      <c r="O51" s="25">
        <f t="shared" si="17"/>
        <v>273761.61691288283</v>
      </c>
      <c r="P51" s="25">
        <f t="shared" si="18"/>
        <v>315084.86307675636</v>
      </c>
      <c r="R51" s="38">
        <f>LOOKUP(S$2,'Beitragstabelle neu'!B$5:D$5,'Beitragstabelle neu'!B51:D51)+D51</f>
        <v>0.26</v>
      </c>
      <c r="S51" s="38">
        <f t="shared" si="23"/>
        <v>0</v>
      </c>
      <c r="T51" s="40">
        <f>+S51*'Daten Versicherter'!$B$16</f>
        <v>0</v>
      </c>
    </row>
    <row r="52" spans="1:20" x14ac:dyDescent="0.2">
      <c r="A52">
        <v>63</v>
      </c>
      <c r="B52" s="4">
        <v>7.4999999999999997E-2</v>
      </c>
      <c r="C52" s="4">
        <v>0.1</v>
      </c>
      <c r="D52" s="4">
        <v>0.13</v>
      </c>
      <c r="E52" s="4">
        <v>0.01</v>
      </c>
      <c r="F52" s="22">
        <f t="shared" si="20"/>
        <v>8.4999999999999992E-2</v>
      </c>
      <c r="G52" s="22">
        <f t="shared" si="21"/>
        <v>0.11</v>
      </c>
      <c r="H52" s="22">
        <f t="shared" si="22"/>
        <v>0.14000000000000001</v>
      </c>
      <c r="I52" s="27">
        <f>LOOKUP(J$2,'Beitragstabelle neu'!B$5:D$5,'Beitragstabelle neu'!B52:D52)+D52</f>
        <v>0.20500000000000002</v>
      </c>
      <c r="J52" s="27">
        <f t="shared" si="24"/>
        <v>0.20500000000000002</v>
      </c>
      <c r="K52" s="25">
        <f>+J52*'Daten Versicherter'!B$16</f>
        <v>9607.3250000000007</v>
      </c>
      <c r="L52" s="25">
        <f t="shared" si="15"/>
        <v>0</v>
      </c>
      <c r="M52" s="27">
        <f>+'Daten Versicherter'!B$30</f>
        <v>0.01</v>
      </c>
      <c r="N52" s="25">
        <f t="shared" si="16"/>
        <v>41736.47862551226</v>
      </c>
      <c r="O52" s="25">
        <f t="shared" si="17"/>
        <v>286106.55808201164</v>
      </c>
      <c r="P52" s="25">
        <f t="shared" si="18"/>
        <v>327843.03670752392</v>
      </c>
      <c r="R52" s="38">
        <f>LOOKUP(S$2,'Beitragstabelle neu'!B$5:D$5,'Beitragstabelle neu'!B52:D52)+D52</f>
        <v>0.26</v>
      </c>
      <c r="S52" s="38">
        <f t="shared" si="23"/>
        <v>0</v>
      </c>
      <c r="T52" s="40">
        <f>+S52*'Daten Versicherter'!$B$16</f>
        <v>0</v>
      </c>
    </row>
    <row r="53" spans="1:20" x14ac:dyDescent="0.2">
      <c r="A53">
        <v>64</v>
      </c>
      <c r="B53" s="4">
        <v>7.4999999999999997E-2</v>
      </c>
      <c r="C53" s="4">
        <v>0.1</v>
      </c>
      <c r="D53" s="4">
        <v>0.13</v>
      </c>
      <c r="E53" s="4">
        <v>0.01</v>
      </c>
      <c r="F53" s="22">
        <f t="shared" si="20"/>
        <v>8.4999999999999992E-2</v>
      </c>
      <c r="G53" s="22">
        <f t="shared" si="21"/>
        <v>0.11</v>
      </c>
      <c r="H53" s="22">
        <f t="shared" si="22"/>
        <v>0.14000000000000001</v>
      </c>
      <c r="I53" s="27">
        <f>LOOKUP(J$2,'Beitragstabelle neu'!B$5:D$5,'Beitragstabelle neu'!B53:D53)+D53</f>
        <v>0.20500000000000002</v>
      </c>
      <c r="J53" s="27">
        <f t="shared" si="24"/>
        <v>0.20500000000000002</v>
      </c>
      <c r="K53" s="25">
        <f>+J53*'Daten Versicherter'!B$16</f>
        <v>9607.3250000000007</v>
      </c>
      <c r="L53" s="25">
        <f t="shared" si="15"/>
        <v>0</v>
      </c>
      <c r="M53" s="27">
        <f>+'Daten Versicherter'!B$30</f>
        <v>0.01</v>
      </c>
      <c r="N53" s="25">
        <f t="shared" si="16"/>
        <v>42153.843411767382</v>
      </c>
      <c r="O53" s="25">
        <f t="shared" si="17"/>
        <v>298574.9486628318</v>
      </c>
      <c r="P53" s="25">
        <f t="shared" si="18"/>
        <v>340728.79207459919</v>
      </c>
      <c r="R53" s="38">
        <f>LOOKUP(S$2,'Beitragstabelle neu'!B$5:D$5,'Beitragstabelle neu'!B53:D53)+D53</f>
        <v>0.26</v>
      </c>
      <c r="S53" s="38">
        <f t="shared" si="23"/>
        <v>0</v>
      </c>
      <c r="T53" s="40">
        <f>+S53*'Daten Versicherter'!$B$16</f>
        <v>0</v>
      </c>
    </row>
    <row r="54" spans="1:20" x14ac:dyDescent="0.2">
      <c r="A54">
        <v>65</v>
      </c>
      <c r="B54" s="4">
        <v>7.4999999999999997E-2</v>
      </c>
      <c r="C54" s="4">
        <v>0.1</v>
      </c>
      <c r="D54" s="4">
        <v>0.13</v>
      </c>
      <c r="E54" s="4">
        <v>0.01</v>
      </c>
      <c r="F54" s="22">
        <f t="shared" si="20"/>
        <v>8.4999999999999992E-2</v>
      </c>
      <c r="G54" s="22">
        <f t="shared" si="21"/>
        <v>0.11</v>
      </c>
      <c r="H54" s="22">
        <f t="shared" si="22"/>
        <v>0.14000000000000001</v>
      </c>
      <c r="I54" s="27">
        <f>LOOKUP(J$2,'Beitragstabelle neu'!B$5:D$5,'Beitragstabelle neu'!B54:D54)+D54</f>
        <v>0.20500000000000002</v>
      </c>
      <c r="J54" s="27">
        <f t="shared" si="24"/>
        <v>0.20500000000000002</v>
      </c>
      <c r="K54" s="25">
        <f>+J54*'Daten Versicherter'!B$16</f>
        <v>9607.3250000000007</v>
      </c>
      <c r="L54" s="25">
        <f t="shared" si="15"/>
        <v>0</v>
      </c>
      <c r="M54" s="27">
        <f>+'Daten Versicherter'!B$30</f>
        <v>0.01</v>
      </c>
      <c r="N54" s="25">
        <f t="shared" si="16"/>
        <v>42575.381845885058</v>
      </c>
      <c r="O54" s="25">
        <f t="shared" si="17"/>
        <v>311168.02314946015</v>
      </c>
      <c r="P54" s="25">
        <f t="shared" si="18"/>
        <v>353743.40499534522</v>
      </c>
      <c r="R54" s="38">
        <f>LOOKUP(S$2,'Beitragstabelle neu'!B$5:D$5,'Beitragstabelle neu'!B54:D54)+D54</f>
        <v>0.26</v>
      </c>
      <c r="S54" s="38">
        <f t="shared" si="23"/>
        <v>0</v>
      </c>
      <c r="T54" s="40">
        <f>+S54*'Daten Versicherter'!$B$16</f>
        <v>0</v>
      </c>
    </row>
    <row r="55" spans="1:20" x14ac:dyDescent="0.2">
      <c r="A55">
        <v>66</v>
      </c>
      <c r="B55" s="4">
        <v>8.5000000000000006E-2</v>
      </c>
      <c r="C55" s="4">
        <v>8.5000000000000006E-2</v>
      </c>
      <c r="D55" s="4">
        <f>+C55</f>
        <v>8.5000000000000006E-2</v>
      </c>
      <c r="E55" s="4">
        <v>0</v>
      </c>
      <c r="F55" s="22">
        <f t="shared" ref="F55:F59" si="25">+B55+$E55</f>
        <v>8.5000000000000006E-2</v>
      </c>
      <c r="G55" s="22">
        <f t="shared" ref="G55:G59" si="26">+C55+$E55</f>
        <v>8.5000000000000006E-2</v>
      </c>
      <c r="H55" s="22">
        <f t="shared" ref="H55:H59" si="27">+D55+$E55</f>
        <v>8.5000000000000006E-2</v>
      </c>
      <c r="I55" s="27">
        <f>LOOKUP(J$2,'Beitragstabelle neu'!B$5:D$5,'Beitragstabelle neu'!B55:D55)+D55</f>
        <v>0.17</v>
      </c>
      <c r="J55" s="27">
        <f t="shared" si="24"/>
        <v>0.17</v>
      </c>
      <c r="K55" s="25">
        <f>+J55*'Daten Versicherter'!B$16</f>
        <v>7967.05</v>
      </c>
      <c r="L55" s="25">
        <f t="shared" si="15"/>
        <v>0</v>
      </c>
      <c r="M55" s="27">
        <f>+'Daten Versicherter'!B$30</f>
        <v>0.01</v>
      </c>
      <c r="N55" s="25">
        <f t="shared" si="16"/>
        <v>43001.135664343907</v>
      </c>
      <c r="O55" s="25">
        <f t="shared" si="17"/>
        <v>322246.75338095473</v>
      </c>
      <c r="P55" s="25">
        <f t="shared" si="18"/>
        <v>365247.88904529862</v>
      </c>
      <c r="R55" s="38">
        <f>LOOKUP(S$2,'Beitragstabelle neu'!B$5:D$5,'Beitragstabelle neu'!B55:D55)+D55</f>
        <v>0.17</v>
      </c>
      <c r="S55" s="38">
        <f t="shared" si="23"/>
        <v>0</v>
      </c>
      <c r="T55" s="40">
        <f>+S55*'Daten Versicherter'!$B$16</f>
        <v>0</v>
      </c>
    </row>
    <row r="56" spans="1:20" x14ac:dyDescent="0.2">
      <c r="A56">
        <v>67</v>
      </c>
      <c r="B56" s="4">
        <f t="shared" ref="B56:B59" si="28">+B55</f>
        <v>8.5000000000000006E-2</v>
      </c>
      <c r="C56" s="4">
        <f t="shared" ref="C56:C59" si="29">+C55</f>
        <v>8.5000000000000006E-2</v>
      </c>
      <c r="D56" s="4">
        <f t="shared" ref="D56:D59" si="30">+D55</f>
        <v>8.5000000000000006E-2</v>
      </c>
      <c r="E56" s="4">
        <v>0</v>
      </c>
      <c r="F56" s="22">
        <f t="shared" si="25"/>
        <v>8.5000000000000006E-2</v>
      </c>
      <c r="G56" s="22">
        <f t="shared" si="26"/>
        <v>8.5000000000000006E-2</v>
      </c>
      <c r="H56" s="22">
        <f t="shared" si="27"/>
        <v>8.5000000000000006E-2</v>
      </c>
      <c r="I56" s="27">
        <f>LOOKUP(J$2,'Beitragstabelle neu'!B$5:D$5,'Beitragstabelle neu'!B56:D56)+D56</f>
        <v>0.17</v>
      </c>
      <c r="J56" s="27">
        <f t="shared" si="24"/>
        <v>0.17</v>
      </c>
      <c r="K56" s="25">
        <f>+J56*'Daten Versicherter'!B$16</f>
        <v>7967.05</v>
      </c>
      <c r="L56" s="25">
        <f t="shared" si="15"/>
        <v>0</v>
      </c>
      <c r="M56" s="27">
        <f>+'Daten Versicherter'!B$30</f>
        <v>0.01</v>
      </c>
      <c r="N56" s="25">
        <f t="shared" si="16"/>
        <v>43431.147020987344</v>
      </c>
      <c r="O56" s="25">
        <f t="shared" si="17"/>
        <v>333436.27091476426</v>
      </c>
      <c r="P56" s="25">
        <f t="shared" si="18"/>
        <v>376867.41793575161</v>
      </c>
      <c r="R56" s="38">
        <f>LOOKUP(S$2,'Beitragstabelle neu'!B$5:D$5,'Beitragstabelle neu'!B56:D56)+D56</f>
        <v>0.17</v>
      </c>
      <c r="S56" s="38">
        <f t="shared" si="23"/>
        <v>0</v>
      </c>
      <c r="T56" s="40">
        <f>+S56*'Daten Versicherter'!$B$16</f>
        <v>0</v>
      </c>
    </row>
    <row r="57" spans="1:20" x14ac:dyDescent="0.2">
      <c r="A57">
        <v>68</v>
      </c>
      <c r="B57" s="4">
        <f t="shared" si="28"/>
        <v>8.5000000000000006E-2</v>
      </c>
      <c r="C57" s="4">
        <f t="shared" si="29"/>
        <v>8.5000000000000006E-2</v>
      </c>
      <c r="D57" s="4">
        <f t="shared" si="30"/>
        <v>8.5000000000000006E-2</v>
      </c>
      <c r="E57" s="4">
        <v>0</v>
      </c>
      <c r="F57" s="22">
        <f t="shared" si="25"/>
        <v>8.5000000000000006E-2</v>
      </c>
      <c r="G57" s="22">
        <f t="shared" si="26"/>
        <v>8.5000000000000006E-2</v>
      </c>
      <c r="H57" s="22">
        <f t="shared" si="27"/>
        <v>8.5000000000000006E-2</v>
      </c>
      <c r="I57" s="27">
        <f>LOOKUP(J$2,'Beitragstabelle neu'!B$5:D$5,'Beitragstabelle neu'!B57:D57)+D57</f>
        <v>0.17</v>
      </c>
      <c r="J57" s="27">
        <f t="shared" si="24"/>
        <v>0.17</v>
      </c>
      <c r="K57" s="25">
        <f>+J57*'Daten Versicherter'!B$16</f>
        <v>7967.05</v>
      </c>
      <c r="L57" s="25">
        <f t="shared" si="15"/>
        <v>0</v>
      </c>
      <c r="M57" s="27">
        <f>+'Daten Versicherter'!B$30</f>
        <v>0.01</v>
      </c>
      <c r="N57" s="25">
        <f t="shared" si="16"/>
        <v>43865.45849119722</v>
      </c>
      <c r="O57" s="25">
        <f t="shared" si="17"/>
        <v>344737.68362391187</v>
      </c>
      <c r="P57" s="25">
        <f t="shared" si="18"/>
        <v>388603.14211510908</v>
      </c>
      <c r="R57" s="38">
        <f>LOOKUP(S$2,'Beitragstabelle neu'!B$5:D$5,'Beitragstabelle neu'!B57:D57)+D57</f>
        <v>0.17</v>
      </c>
      <c r="S57" s="38">
        <f t="shared" si="23"/>
        <v>0</v>
      </c>
      <c r="T57" s="40">
        <f>+S57*'Daten Versicherter'!$B$16</f>
        <v>0</v>
      </c>
    </row>
    <row r="58" spans="1:20" s="5" customFormat="1" x14ac:dyDescent="0.2">
      <c r="A58">
        <v>69</v>
      </c>
      <c r="B58" s="4">
        <f t="shared" si="28"/>
        <v>8.5000000000000006E-2</v>
      </c>
      <c r="C58" s="4">
        <f t="shared" si="29"/>
        <v>8.5000000000000006E-2</v>
      </c>
      <c r="D58" s="4">
        <f t="shared" si="30"/>
        <v>8.5000000000000006E-2</v>
      </c>
      <c r="E58" s="4">
        <v>0</v>
      </c>
      <c r="F58" s="22">
        <f t="shared" si="25"/>
        <v>8.5000000000000006E-2</v>
      </c>
      <c r="G58" s="22">
        <f t="shared" si="26"/>
        <v>8.5000000000000006E-2</v>
      </c>
      <c r="H58" s="22">
        <f t="shared" si="27"/>
        <v>8.5000000000000006E-2</v>
      </c>
      <c r="I58" s="27">
        <f>LOOKUP(J$2,'Beitragstabelle neu'!B$5:D$5,'Beitragstabelle neu'!B58:D58)+D58</f>
        <v>0.17</v>
      </c>
      <c r="J58" s="27">
        <f t="shared" si="24"/>
        <v>0.17</v>
      </c>
      <c r="K58" s="25">
        <f>+J58*'Daten Versicherter'!B$16</f>
        <v>7967.05</v>
      </c>
      <c r="L58" s="25">
        <f t="shared" si="15"/>
        <v>0</v>
      </c>
      <c r="M58" s="27">
        <f>+'Daten Versicherter'!B$30</f>
        <v>0.01</v>
      </c>
      <c r="N58" s="25">
        <f t="shared" si="16"/>
        <v>44304.113076109192</v>
      </c>
      <c r="O58" s="25">
        <f t="shared" si="17"/>
        <v>356152.11046015099</v>
      </c>
      <c r="P58" s="25">
        <f t="shared" si="18"/>
        <v>400456.22353626019</v>
      </c>
      <c r="R58" s="38">
        <f>LOOKUP(S$2,'Beitragstabelle neu'!B$5:D$5,'Beitragstabelle neu'!B58:D58)+D58</f>
        <v>0.17</v>
      </c>
      <c r="S58" s="38">
        <f t="shared" si="23"/>
        <v>0</v>
      </c>
      <c r="T58" s="40">
        <f>+S58*'Daten Versicherter'!$B$16</f>
        <v>0</v>
      </c>
    </row>
    <row r="59" spans="1:20" x14ac:dyDescent="0.2">
      <c r="A59">
        <v>70</v>
      </c>
      <c r="B59" s="4">
        <f t="shared" si="28"/>
        <v>8.5000000000000006E-2</v>
      </c>
      <c r="C59" s="4">
        <f t="shared" si="29"/>
        <v>8.5000000000000006E-2</v>
      </c>
      <c r="D59" s="4">
        <f t="shared" si="30"/>
        <v>8.5000000000000006E-2</v>
      </c>
      <c r="E59" s="4">
        <v>0</v>
      </c>
      <c r="F59" s="22">
        <f t="shared" si="25"/>
        <v>8.5000000000000006E-2</v>
      </c>
      <c r="G59" s="22">
        <f t="shared" si="26"/>
        <v>8.5000000000000006E-2</v>
      </c>
      <c r="H59" s="22">
        <f t="shared" si="27"/>
        <v>8.5000000000000006E-2</v>
      </c>
      <c r="I59" s="27">
        <f>LOOKUP(J$2,'Beitragstabelle neu'!B$5:D$5,'Beitragstabelle neu'!B59:D59)+D59</f>
        <v>0.17</v>
      </c>
      <c r="J59" s="27">
        <f t="shared" si="24"/>
        <v>0.17</v>
      </c>
      <c r="K59" s="25">
        <f>+J59*'Daten Versicherter'!B$16</f>
        <v>7967.05</v>
      </c>
      <c r="L59" s="25">
        <f t="shared" si="15"/>
        <v>0</v>
      </c>
      <c r="M59" s="27">
        <f>+'Daten Versicherter'!B$30</f>
        <v>0.01</v>
      </c>
      <c r="N59" s="25">
        <f t="shared" si="16"/>
        <v>44747.154206870284</v>
      </c>
      <c r="O59" s="25">
        <f t="shared" si="17"/>
        <v>367680.68156475248</v>
      </c>
      <c r="P59" s="25">
        <f t="shared" si="18"/>
        <v>412427.83577162278</v>
      </c>
      <c r="R59" s="38">
        <f>LOOKUP(S$2,'Beitragstabelle neu'!B$5:D$5,'Beitragstabelle neu'!B59:D59)+D59</f>
        <v>0.17</v>
      </c>
      <c r="S59" s="38">
        <f t="shared" si="23"/>
        <v>0</v>
      </c>
      <c r="T59" s="40">
        <f>+S59*'Daten Versicherter'!$B$16</f>
        <v>0</v>
      </c>
    </row>
    <row r="61" spans="1:20" x14ac:dyDescent="0.2">
      <c r="A61" t="s">
        <v>38</v>
      </c>
      <c r="B61" s="2">
        <f>+'Daten Versicherter'!B31-1</f>
        <v>64</v>
      </c>
    </row>
    <row r="62" spans="1:20" x14ac:dyDescent="0.2">
      <c r="A62" t="s">
        <v>39</v>
      </c>
      <c r="B62" s="2">
        <f>LOOKUP(B61,A46:A59,P46:P59)</f>
        <v>340728.79207459919</v>
      </c>
    </row>
    <row r="63" spans="1:20" x14ac:dyDescent="0.2">
      <c r="A63" s="3" t="s">
        <v>46</v>
      </c>
      <c r="T63" s="40">
        <f>SUM(T6:T62)</f>
        <v>8388.8350000000009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Footer>&amp;L&amp;8A. Häggi, MFB 2277; &amp;D&amp;C&amp;8- &amp;P -&amp;R&amp;8&amp;F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workbookViewId="0">
      <pane xSplit="1" ySplit="5" topLeftCell="M36" activePane="bottomRight" state="frozen"/>
      <selection pane="topRight" activeCell="B1" sqref="B1"/>
      <selection pane="bottomLeft" activeCell="A6" sqref="A6"/>
      <selection pane="bottomRight" activeCell="T63" sqref="T63"/>
    </sheetView>
  </sheetViews>
  <sheetFormatPr baseColWidth="10" defaultRowHeight="13.5" x14ac:dyDescent="0.2"/>
  <cols>
    <col min="2" max="5" width="11" style="2"/>
    <col min="6" max="6" width="11" style="19"/>
    <col min="7" max="8" width="11" style="20"/>
    <col min="9" max="9" width="11" style="27"/>
    <col min="10" max="10" width="11" style="30"/>
    <col min="11" max="12" width="11" style="25"/>
    <col min="13" max="13" width="11" style="26"/>
    <col min="14" max="16" width="11" style="25"/>
    <col min="17" max="17" width="3.5" customWidth="1"/>
    <col min="18" max="18" width="11" style="38"/>
    <col min="19" max="19" width="11" style="41"/>
    <col min="20" max="20" width="11" style="40"/>
  </cols>
  <sheetData>
    <row r="1" spans="1:24" s="5" customFormat="1" ht="12.75" x14ac:dyDescent="0.2">
      <c r="A1" s="57" t="s">
        <v>85</v>
      </c>
      <c r="B1" s="8"/>
      <c r="C1" s="8"/>
      <c r="D1" s="8"/>
      <c r="E1" s="8"/>
      <c r="F1" s="18"/>
      <c r="G1" s="18"/>
      <c r="H1" s="18"/>
      <c r="I1" s="28"/>
      <c r="J1" s="23"/>
      <c r="K1" s="23"/>
      <c r="L1" s="23"/>
      <c r="M1" s="24"/>
      <c r="N1" s="23"/>
      <c r="O1" s="23"/>
      <c r="P1" s="23"/>
      <c r="R1" s="42" t="s">
        <v>48</v>
      </c>
      <c r="S1" s="37"/>
      <c r="T1" s="37"/>
      <c r="U1" s="5" t="s">
        <v>84</v>
      </c>
      <c r="W1" s="5" t="s">
        <v>87</v>
      </c>
    </row>
    <row r="2" spans="1:24" x14ac:dyDescent="0.2">
      <c r="D2" s="9"/>
      <c r="I2" s="27" t="s">
        <v>52</v>
      </c>
      <c r="J2" s="29">
        <f>+'Daten Versicherter'!B13</f>
        <v>1</v>
      </c>
      <c r="R2" s="38" t="s">
        <v>55</v>
      </c>
      <c r="S2" s="39">
        <f>+'Daten Versicherter'!B12</f>
        <v>3</v>
      </c>
    </row>
    <row r="3" spans="1:24" x14ac:dyDescent="0.2">
      <c r="A3" t="s">
        <v>0</v>
      </c>
      <c r="B3" s="9" t="s">
        <v>1</v>
      </c>
      <c r="E3" s="7" t="s">
        <v>3</v>
      </c>
      <c r="F3" s="19" t="s">
        <v>4</v>
      </c>
      <c r="I3" s="27" t="s">
        <v>53</v>
      </c>
      <c r="J3" s="29">
        <f>+'Daten Versicherter'!B6</f>
        <v>34</v>
      </c>
      <c r="R3" s="38" t="s">
        <v>54</v>
      </c>
      <c r="S3" s="39">
        <f>+J3-1</f>
        <v>33</v>
      </c>
    </row>
    <row r="4" spans="1:24" x14ac:dyDescent="0.2">
      <c r="B4" s="7" t="s">
        <v>35</v>
      </c>
      <c r="C4" s="7" t="s">
        <v>2</v>
      </c>
      <c r="D4" s="7" t="s">
        <v>34</v>
      </c>
      <c r="F4" s="21" t="s">
        <v>35</v>
      </c>
      <c r="G4" s="21" t="s">
        <v>2</v>
      </c>
      <c r="H4" s="21" t="s">
        <v>34</v>
      </c>
      <c r="N4" s="26"/>
      <c r="O4" s="26"/>
      <c r="P4" s="26"/>
      <c r="R4" s="38" t="s">
        <v>20</v>
      </c>
      <c r="S4" s="41" t="s">
        <v>50</v>
      </c>
      <c r="T4" s="40" t="s">
        <v>56</v>
      </c>
    </row>
    <row r="5" spans="1:24" x14ac:dyDescent="0.2">
      <c r="A5" t="s">
        <v>23</v>
      </c>
      <c r="B5" s="7">
        <v>1</v>
      </c>
      <c r="C5" s="7">
        <v>2</v>
      </c>
      <c r="D5" s="7">
        <v>3</v>
      </c>
      <c r="F5" s="21"/>
      <c r="G5" s="21"/>
      <c r="H5" s="21"/>
      <c r="R5" s="38" t="s">
        <v>32</v>
      </c>
    </row>
    <row r="6" spans="1:24" x14ac:dyDescent="0.2">
      <c r="A6">
        <v>17</v>
      </c>
      <c r="B6" s="7"/>
      <c r="C6" s="7"/>
      <c r="D6" s="7"/>
      <c r="E6" s="4">
        <v>0.02</v>
      </c>
      <c r="F6" s="22">
        <f t="shared" ref="F6:F37" si="0">+B6+$E6</f>
        <v>0.02</v>
      </c>
      <c r="G6" s="22">
        <f t="shared" ref="G6:G37" si="1">+C6+$E6</f>
        <v>0.02</v>
      </c>
      <c r="H6" s="22">
        <f t="shared" ref="H6:H37" si="2">+D6+$E6</f>
        <v>0.02</v>
      </c>
      <c r="J6" s="27"/>
      <c r="M6" s="27"/>
      <c r="R6" s="38">
        <f>LOOKUP(S$2,' Beitragstabelle alt nur 2020 v'!B$5:D$5,' Beitragstabelle alt nur 2020 v'!B6:D6)+D6</f>
        <v>0</v>
      </c>
      <c r="S6" s="38">
        <f>IF($S$3=$A6,R6,0)</f>
        <v>0</v>
      </c>
      <c r="T6" s="40">
        <f>+S6*'Daten Versicherter'!$D$82</f>
        <v>0</v>
      </c>
      <c r="U6" s="38">
        <f t="shared" ref="U6:U21" si="3">IF($S$3=$A6,E6,0)</f>
        <v>0</v>
      </c>
      <c r="V6" s="40">
        <f>+U6*'Daten Versicherter'!$D$82</f>
        <v>0</v>
      </c>
      <c r="W6" s="38">
        <f t="shared" ref="W6:W21" si="4">IF($S$3=$A6,S6-H6+U6,0)</f>
        <v>0</v>
      </c>
      <c r="X6" s="40">
        <f>+W6*'Daten Versicherter'!$D$82</f>
        <v>0</v>
      </c>
    </row>
    <row r="7" spans="1:24" x14ac:dyDescent="0.2">
      <c r="A7">
        <v>18</v>
      </c>
      <c r="B7" s="7"/>
      <c r="C7" s="7"/>
      <c r="D7" s="7"/>
      <c r="E7" s="4">
        <v>0.02</v>
      </c>
      <c r="F7" s="22">
        <f t="shared" si="0"/>
        <v>0.02</v>
      </c>
      <c r="G7" s="22">
        <f t="shared" si="1"/>
        <v>0.02</v>
      </c>
      <c r="H7" s="22">
        <f t="shared" si="2"/>
        <v>0.02</v>
      </c>
      <c r="J7" s="27"/>
      <c r="M7" s="27"/>
      <c r="R7" s="38">
        <f>LOOKUP(S$2,' Beitragstabelle alt nur 2020 v'!B$5:D$5,' Beitragstabelle alt nur 2020 v'!B7:D7)+D7</f>
        <v>0</v>
      </c>
      <c r="S7" s="38">
        <f t="shared" ref="S7:S38" si="5">IF(S$3=A7,R7,0)</f>
        <v>0</v>
      </c>
      <c r="T7" s="40">
        <f>+S7*'Daten Versicherter'!$D$82</f>
        <v>0</v>
      </c>
      <c r="U7" s="38">
        <f t="shared" si="3"/>
        <v>0</v>
      </c>
      <c r="V7" s="40">
        <f>+U7*'Daten Versicherter'!$D$82</f>
        <v>0</v>
      </c>
      <c r="W7" s="38">
        <f t="shared" si="4"/>
        <v>0</v>
      </c>
      <c r="X7" s="40">
        <f>+W7*'Daten Versicherter'!$D$82</f>
        <v>0</v>
      </c>
    </row>
    <row r="8" spans="1:24" x14ac:dyDescent="0.2">
      <c r="A8">
        <v>19</v>
      </c>
      <c r="B8" s="7"/>
      <c r="C8" s="7"/>
      <c r="D8" s="7"/>
      <c r="E8" s="4">
        <v>0.02</v>
      </c>
      <c r="F8" s="22">
        <f t="shared" si="0"/>
        <v>0.02</v>
      </c>
      <c r="G8" s="22">
        <f t="shared" si="1"/>
        <v>0.02</v>
      </c>
      <c r="H8" s="22">
        <f t="shared" si="2"/>
        <v>0.02</v>
      </c>
      <c r="J8" s="27"/>
      <c r="M8" s="27"/>
      <c r="R8" s="38">
        <f>LOOKUP(S$2,' Beitragstabelle alt nur 2020 v'!B$5:D$5,' Beitragstabelle alt nur 2020 v'!B8:D8)+D8</f>
        <v>0</v>
      </c>
      <c r="S8" s="38">
        <f t="shared" si="5"/>
        <v>0</v>
      </c>
      <c r="T8" s="40">
        <f>+S8*'Daten Versicherter'!$D$82</f>
        <v>0</v>
      </c>
      <c r="U8" s="38">
        <f t="shared" si="3"/>
        <v>0</v>
      </c>
      <c r="V8" s="40">
        <f>+U8*'Daten Versicherter'!$D$82</f>
        <v>0</v>
      </c>
      <c r="W8" s="38">
        <f t="shared" si="4"/>
        <v>0</v>
      </c>
      <c r="X8" s="40">
        <f>+W8*'Daten Versicherter'!$D$82</f>
        <v>0</v>
      </c>
    </row>
    <row r="9" spans="1:24" x14ac:dyDescent="0.2">
      <c r="A9">
        <v>20</v>
      </c>
      <c r="B9" s="7"/>
      <c r="C9" s="7"/>
      <c r="D9" s="7"/>
      <c r="E9" s="4">
        <v>0.02</v>
      </c>
      <c r="F9" s="22">
        <f t="shared" si="0"/>
        <v>0.02</v>
      </c>
      <c r="G9" s="22">
        <f t="shared" si="1"/>
        <v>0.02</v>
      </c>
      <c r="H9" s="22">
        <f t="shared" si="2"/>
        <v>0.02</v>
      </c>
      <c r="J9" s="27"/>
      <c r="M9" s="27"/>
      <c r="R9" s="38">
        <f>LOOKUP(S$2,' Beitragstabelle alt nur 2020 v'!B$5:D$5,' Beitragstabelle alt nur 2020 v'!B9:D9)+D9</f>
        <v>0</v>
      </c>
      <c r="S9" s="38">
        <f t="shared" si="5"/>
        <v>0</v>
      </c>
      <c r="T9" s="40">
        <f>+S9*'Daten Versicherter'!$D$82</f>
        <v>0</v>
      </c>
      <c r="U9" s="38">
        <f t="shared" si="3"/>
        <v>0</v>
      </c>
      <c r="V9" s="40">
        <f>+U9*'Daten Versicherter'!$D$82</f>
        <v>0</v>
      </c>
      <c r="W9" s="38">
        <f t="shared" si="4"/>
        <v>0</v>
      </c>
      <c r="X9" s="40">
        <f>+W9*'Daten Versicherter'!$D$82</f>
        <v>0</v>
      </c>
    </row>
    <row r="10" spans="1:24" x14ac:dyDescent="0.2">
      <c r="A10">
        <v>21</v>
      </c>
      <c r="B10" s="7"/>
      <c r="C10" s="7"/>
      <c r="D10" s="7"/>
      <c r="E10" s="4">
        <v>0.02</v>
      </c>
      <c r="F10" s="22">
        <f t="shared" si="0"/>
        <v>0.02</v>
      </c>
      <c r="G10" s="22">
        <f t="shared" si="1"/>
        <v>0.02</v>
      </c>
      <c r="H10" s="22">
        <f t="shared" si="2"/>
        <v>0.02</v>
      </c>
      <c r="J10" s="27"/>
      <c r="M10" s="27"/>
      <c r="R10" s="38">
        <f>LOOKUP(S$2,' Beitragstabelle alt nur 2020 v'!B$5:D$5,' Beitragstabelle alt nur 2020 v'!B10:D10)+D10</f>
        <v>0</v>
      </c>
      <c r="S10" s="38">
        <f t="shared" si="5"/>
        <v>0</v>
      </c>
      <c r="T10" s="40">
        <f>+S10*'Daten Versicherter'!$D$82</f>
        <v>0</v>
      </c>
      <c r="U10" s="38">
        <f t="shared" si="3"/>
        <v>0</v>
      </c>
      <c r="V10" s="40">
        <f>+U10*'Daten Versicherter'!$D$82</f>
        <v>0</v>
      </c>
      <c r="W10" s="38">
        <f t="shared" si="4"/>
        <v>0</v>
      </c>
      <c r="X10" s="40">
        <f>+W10*'Daten Versicherter'!$D$82</f>
        <v>0</v>
      </c>
    </row>
    <row r="11" spans="1:24" x14ac:dyDescent="0.2">
      <c r="A11">
        <v>22</v>
      </c>
      <c r="B11" s="7"/>
      <c r="C11" s="7"/>
      <c r="D11" s="7"/>
      <c r="E11" s="4">
        <v>0.02</v>
      </c>
      <c r="F11" s="22">
        <f t="shared" si="0"/>
        <v>0.02</v>
      </c>
      <c r="G11" s="22">
        <f t="shared" si="1"/>
        <v>0.02</v>
      </c>
      <c r="H11" s="22">
        <f t="shared" si="2"/>
        <v>0.02</v>
      </c>
      <c r="J11" s="27"/>
      <c r="M11" s="27"/>
      <c r="R11" s="38">
        <f>LOOKUP(S$2,' Beitragstabelle alt nur 2020 v'!B$5:D$5,' Beitragstabelle alt nur 2020 v'!B11:D11)+D11</f>
        <v>0</v>
      </c>
      <c r="S11" s="38">
        <f t="shared" si="5"/>
        <v>0</v>
      </c>
      <c r="T11" s="40">
        <f>+S11*'Daten Versicherter'!$D$82</f>
        <v>0</v>
      </c>
      <c r="U11" s="38">
        <f t="shared" si="3"/>
        <v>0</v>
      </c>
      <c r="V11" s="40">
        <f>+U11*'Daten Versicherter'!$D$82</f>
        <v>0</v>
      </c>
      <c r="W11" s="38">
        <f t="shared" si="4"/>
        <v>0</v>
      </c>
      <c r="X11" s="40">
        <f>+W11*'Daten Versicherter'!$D$82</f>
        <v>0</v>
      </c>
    </row>
    <row r="12" spans="1:24" x14ac:dyDescent="0.2">
      <c r="A12">
        <v>23</v>
      </c>
      <c r="B12" s="7"/>
      <c r="C12" s="7"/>
      <c r="D12" s="7"/>
      <c r="E12" s="4">
        <v>0.02</v>
      </c>
      <c r="F12" s="22">
        <f t="shared" si="0"/>
        <v>0.02</v>
      </c>
      <c r="G12" s="22">
        <f t="shared" si="1"/>
        <v>0.02</v>
      </c>
      <c r="H12" s="22">
        <f t="shared" si="2"/>
        <v>0.02</v>
      </c>
      <c r="J12" s="27"/>
      <c r="M12" s="27"/>
      <c r="R12" s="38">
        <f>LOOKUP(S$2,' Beitragstabelle alt nur 2020 v'!B$5:D$5,' Beitragstabelle alt nur 2020 v'!B12:D12)+D12</f>
        <v>0</v>
      </c>
      <c r="S12" s="38">
        <f t="shared" si="5"/>
        <v>0</v>
      </c>
      <c r="T12" s="40">
        <f>+S12*'Daten Versicherter'!$D$82</f>
        <v>0</v>
      </c>
      <c r="U12" s="38">
        <f t="shared" si="3"/>
        <v>0</v>
      </c>
      <c r="V12" s="40">
        <f>+U12*'Daten Versicherter'!$D$82</f>
        <v>0</v>
      </c>
      <c r="W12" s="38">
        <f t="shared" si="4"/>
        <v>0</v>
      </c>
      <c r="X12" s="40">
        <f>+W12*'Daten Versicherter'!$D$82</f>
        <v>0</v>
      </c>
    </row>
    <row r="13" spans="1:24" x14ac:dyDescent="0.2">
      <c r="A13">
        <v>24</v>
      </c>
      <c r="B13" s="7"/>
      <c r="C13" s="7"/>
      <c r="D13" s="7"/>
      <c r="E13" s="4">
        <v>0.02</v>
      </c>
      <c r="F13" s="22">
        <f t="shared" si="0"/>
        <v>0.02</v>
      </c>
      <c r="G13" s="22">
        <f t="shared" si="1"/>
        <v>0.02</v>
      </c>
      <c r="H13" s="22">
        <f t="shared" si="2"/>
        <v>0.02</v>
      </c>
      <c r="J13" s="27"/>
      <c r="M13" s="27"/>
      <c r="R13" s="38">
        <f>LOOKUP(S$2,' Beitragstabelle alt nur 2020 v'!B$5:D$5,' Beitragstabelle alt nur 2020 v'!B13:D13)+D13</f>
        <v>0</v>
      </c>
      <c r="S13" s="38">
        <f t="shared" si="5"/>
        <v>0</v>
      </c>
      <c r="T13" s="40">
        <f>+S13*'Daten Versicherter'!$D$82</f>
        <v>0</v>
      </c>
      <c r="U13" s="38">
        <f t="shared" si="3"/>
        <v>0</v>
      </c>
      <c r="V13" s="40">
        <f>+U13*'Daten Versicherter'!$D$82</f>
        <v>0</v>
      </c>
      <c r="W13" s="38">
        <f t="shared" si="4"/>
        <v>0</v>
      </c>
      <c r="X13" s="40">
        <f>+W13*'Daten Versicherter'!$D$82</f>
        <v>0</v>
      </c>
    </row>
    <row r="14" spans="1:24" x14ac:dyDescent="0.2">
      <c r="A14">
        <v>25</v>
      </c>
      <c r="B14" s="4">
        <v>3.5000000000000003E-2</v>
      </c>
      <c r="C14" s="4">
        <v>5.5E-2</v>
      </c>
      <c r="D14" s="4">
        <v>7.8E-2</v>
      </c>
      <c r="E14" s="4">
        <v>0.02</v>
      </c>
      <c r="F14" s="22">
        <f t="shared" si="0"/>
        <v>5.5000000000000007E-2</v>
      </c>
      <c r="G14" s="22">
        <f t="shared" si="1"/>
        <v>7.4999999999999997E-2</v>
      </c>
      <c r="H14" s="22">
        <f t="shared" si="2"/>
        <v>9.8000000000000004E-2</v>
      </c>
      <c r="J14" s="27"/>
      <c r="M14" s="27"/>
      <c r="R14" s="38">
        <f>LOOKUP(S$2,' Beitragstabelle alt nur 2020 v'!B$5:D$5,' Beitragstabelle alt nur 2020 v'!B14:D14)+D14</f>
        <v>0.156</v>
      </c>
      <c r="S14" s="38">
        <f t="shared" si="5"/>
        <v>0</v>
      </c>
      <c r="T14" s="40">
        <f>+S14*'Daten Versicherter'!$D$82</f>
        <v>0</v>
      </c>
      <c r="U14" s="38">
        <f t="shared" si="3"/>
        <v>0</v>
      </c>
      <c r="V14" s="40">
        <f>+U14*'Daten Versicherter'!$D$82</f>
        <v>0</v>
      </c>
      <c r="W14" s="38">
        <f t="shared" si="4"/>
        <v>0</v>
      </c>
      <c r="X14" s="40">
        <f>+W14*'Daten Versicherter'!$D$82</f>
        <v>0</v>
      </c>
    </row>
    <row r="15" spans="1:24" x14ac:dyDescent="0.2">
      <c r="A15">
        <v>26</v>
      </c>
      <c r="B15" s="4">
        <v>3.6000000000000004E-2</v>
      </c>
      <c r="C15" s="4">
        <v>5.6000000000000001E-2</v>
      </c>
      <c r="D15" s="4">
        <v>7.9500000000000001E-2</v>
      </c>
      <c r="E15" s="4">
        <v>0.02</v>
      </c>
      <c r="F15" s="22">
        <f t="shared" si="0"/>
        <v>5.6000000000000008E-2</v>
      </c>
      <c r="G15" s="22">
        <f t="shared" si="1"/>
        <v>7.5999999999999998E-2</v>
      </c>
      <c r="H15" s="22">
        <f t="shared" si="2"/>
        <v>9.9500000000000005E-2</v>
      </c>
      <c r="J15" s="27"/>
      <c r="M15" s="27"/>
      <c r="R15" s="38">
        <f>LOOKUP(S$2,' Beitragstabelle alt nur 2020 v'!B$5:D$5,' Beitragstabelle alt nur 2020 v'!B15:D15)+D15</f>
        <v>0.159</v>
      </c>
      <c r="S15" s="38">
        <f t="shared" si="5"/>
        <v>0</v>
      </c>
      <c r="T15" s="40">
        <f>+S15*'Daten Versicherter'!$D$82</f>
        <v>0</v>
      </c>
      <c r="U15" s="38">
        <f t="shared" si="3"/>
        <v>0</v>
      </c>
      <c r="V15" s="40">
        <f>+U15*'Daten Versicherter'!$D$82</f>
        <v>0</v>
      </c>
      <c r="W15" s="38">
        <f t="shared" si="4"/>
        <v>0</v>
      </c>
      <c r="X15" s="40">
        <f>+W15*'Daten Versicherter'!$D$82</f>
        <v>0</v>
      </c>
    </row>
    <row r="16" spans="1:24" x14ac:dyDescent="0.2">
      <c r="A16">
        <v>27</v>
      </c>
      <c r="B16" s="4">
        <v>3.7000000000000005E-2</v>
      </c>
      <c r="C16" s="4">
        <v>5.7000000000000002E-2</v>
      </c>
      <c r="D16" s="4">
        <v>8.1000000000000003E-2</v>
      </c>
      <c r="E16" s="4">
        <v>0.02</v>
      </c>
      <c r="F16" s="22">
        <f t="shared" si="0"/>
        <v>5.7000000000000009E-2</v>
      </c>
      <c r="G16" s="22">
        <f t="shared" si="1"/>
        <v>7.6999999999999999E-2</v>
      </c>
      <c r="H16" s="22">
        <f t="shared" si="2"/>
        <v>0.10100000000000001</v>
      </c>
      <c r="J16" s="27"/>
      <c r="M16" s="27"/>
      <c r="R16" s="38">
        <f>LOOKUP(S$2,' Beitragstabelle alt nur 2020 v'!B$5:D$5,' Beitragstabelle alt nur 2020 v'!B16:D16)+D16</f>
        <v>0.16200000000000001</v>
      </c>
      <c r="S16" s="38">
        <f t="shared" si="5"/>
        <v>0</v>
      </c>
      <c r="T16" s="40">
        <f>+S16*'Daten Versicherter'!$D$82</f>
        <v>0</v>
      </c>
      <c r="U16" s="38">
        <f t="shared" si="3"/>
        <v>0</v>
      </c>
      <c r="V16" s="40">
        <f>+U16*'Daten Versicherter'!$D$82</f>
        <v>0</v>
      </c>
      <c r="W16" s="38">
        <f t="shared" si="4"/>
        <v>0</v>
      </c>
      <c r="X16" s="40">
        <f>+W16*'Daten Versicherter'!$D$82</f>
        <v>0</v>
      </c>
    </row>
    <row r="17" spans="1:24" x14ac:dyDescent="0.2">
      <c r="A17">
        <v>28</v>
      </c>
      <c r="B17" s="4">
        <v>3.8000000000000006E-2</v>
      </c>
      <c r="C17" s="4">
        <v>5.8000000000000003E-2</v>
      </c>
      <c r="D17" s="4">
        <v>8.2500000000000004E-2</v>
      </c>
      <c r="E17" s="4">
        <v>0.02</v>
      </c>
      <c r="F17" s="22">
        <f t="shared" si="0"/>
        <v>5.800000000000001E-2</v>
      </c>
      <c r="G17" s="22">
        <f t="shared" si="1"/>
        <v>7.8E-2</v>
      </c>
      <c r="H17" s="22">
        <f t="shared" si="2"/>
        <v>0.10250000000000001</v>
      </c>
      <c r="J17" s="27"/>
      <c r="M17" s="27"/>
      <c r="R17" s="38">
        <f>LOOKUP(S$2,' Beitragstabelle alt nur 2020 v'!B$5:D$5,' Beitragstabelle alt nur 2020 v'!B17:D17)+D17</f>
        <v>0.16500000000000001</v>
      </c>
      <c r="S17" s="38">
        <f t="shared" si="5"/>
        <v>0</v>
      </c>
      <c r="T17" s="40">
        <f>+S17*'Daten Versicherter'!$D$82</f>
        <v>0</v>
      </c>
      <c r="U17" s="38">
        <f t="shared" si="3"/>
        <v>0</v>
      </c>
      <c r="V17" s="40">
        <f>+U17*'Daten Versicherter'!$D$82</f>
        <v>0</v>
      </c>
      <c r="W17" s="38">
        <f t="shared" si="4"/>
        <v>0</v>
      </c>
      <c r="X17" s="40">
        <f>+W17*'Daten Versicherter'!$D$82</f>
        <v>0</v>
      </c>
    </row>
    <row r="18" spans="1:24" x14ac:dyDescent="0.2">
      <c r="A18">
        <v>29</v>
      </c>
      <c r="B18" s="4">
        <v>3.9000000000000007E-2</v>
      </c>
      <c r="C18" s="4">
        <v>5.9000000000000004E-2</v>
      </c>
      <c r="D18" s="4">
        <v>8.4000000000000005E-2</v>
      </c>
      <c r="E18" s="4">
        <v>0.02</v>
      </c>
      <c r="F18" s="22">
        <f t="shared" si="0"/>
        <v>5.9000000000000011E-2</v>
      </c>
      <c r="G18" s="22">
        <f t="shared" si="1"/>
        <v>7.9000000000000001E-2</v>
      </c>
      <c r="H18" s="22">
        <f t="shared" si="2"/>
        <v>0.10400000000000001</v>
      </c>
      <c r="J18" s="27"/>
      <c r="M18" s="27"/>
      <c r="R18" s="38">
        <f>LOOKUP(S$2,' Beitragstabelle alt nur 2020 v'!B$5:D$5,' Beitragstabelle alt nur 2020 v'!B18:D18)+D18</f>
        <v>0.16800000000000001</v>
      </c>
      <c r="S18" s="38">
        <f t="shared" si="5"/>
        <v>0</v>
      </c>
      <c r="T18" s="40">
        <f>+S18*'Daten Versicherter'!$D$82</f>
        <v>0</v>
      </c>
      <c r="U18" s="38">
        <f t="shared" si="3"/>
        <v>0</v>
      </c>
      <c r="V18" s="40">
        <f>+U18*'Daten Versicherter'!$D$82</f>
        <v>0</v>
      </c>
      <c r="W18" s="38">
        <f t="shared" si="4"/>
        <v>0</v>
      </c>
      <c r="X18" s="40">
        <f>+W18*'Daten Versicherter'!$D$82</f>
        <v>0</v>
      </c>
    </row>
    <row r="19" spans="1:24" x14ac:dyDescent="0.2">
      <c r="A19">
        <v>30</v>
      </c>
      <c r="B19" s="4">
        <v>4.0000000000000008E-2</v>
      </c>
      <c r="C19" s="4">
        <v>6.0000000000000005E-2</v>
      </c>
      <c r="D19" s="4">
        <v>8.5000000000000006E-2</v>
      </c>
      <c r="E19" s="4">
        <v>0.02</v>
      </c>
      <c r="F19" s="22">
        <f t="shared" si="0"/>
        <v>6.0000000000000012E-2</v>
      </c>
      <c r="G19" s="22">
        <f t="shared" si="1"/>
        <v>0.08</v>
      </c>
      <c r="H19" s="22">
        <f t="shared" si="2"/>
        <v>0.10500000000000001</v>
      </c>
      <c r="J19" s="27"/>
      <c r="M19" s="27"/>
      <c r="R19" s="38">
        <f>LOOKUP(S$2,' Beitragstabelle alt nur 2020 v'!B$5:D$5,' Beitragstabelle alt nur 2020 v'!B19:D19)+D19</f>
        <v>0.17</v>
      </c>
      <c r="S19" s="38">
        <f t="shared" si="5"/>
        <v>0</v>
      </c>
      <c r="T19" s="40">
        <f>+S19*'Daten Versicherter'!$D$82</f>
        <v>0</v>
      </c>
      <c r="U19" s="38">
        <f t="shared" si="3"/>
        <v>0</v>
      </c>
      <c r="V19" s="40">
        <f>+U19*'Daten Versicherter'!$D$82</f>
        <v>0</v>
      </c>
      <c r="W19" s="38">
        <f t="shared" si="4"/>
        <v>0</v>
      </c>
      <c r="X19" s="40">
        <f>+W19*'Daten Versicherter'!$D$82</f>
        <v>0</v>
      </c>
    </row>
    <row r="20" spans="1:24" x14ac:dyDescent="0.2">
      <c r="A20">
        <v>31</v>
      </c>
      <c r="B20" s="4">
        <v>4.1000000000000009E-2</v>
      </c>
      <c r="C20" s="4">
        <v>6.1000000000000006E-2</v>
      </c>
      <c r="D20" s="4">
        <v>8.6500000000000007E-2</v>
      </c>
      <c r="E20" s="4">
        <v>0.02</v>
      </c>
      <c r="F20" s="22">
        <f t="shared" si="0"/>
        <v>6.1000000000000013E-2</v>
      </c>
      <c r="G20" s="22">
        <f t="shared" si="1"/>
        <v>8.1000000000000003E-2</v>
      </c>
      <c r="H20" s="22">
        <f t="shared" si="2"/>
        <v>0.10650000000000001</v>
      </c>
      <c r="J20" s="27"/>
      <c r="M20" s="27"/>
      <c r="R20" s="38">
        <f>LOOKUP(S$2,' Beitragstabelle alt nur 2020 v'!B$5:D$5,' Beitragstabelle alt nur 2020 v'!B20:D20)+D20</f>
        <v>0.17300000000000001</v>
      </c>
      <c r="S20" s="38">
        <f t="shared" si="5"/>
        <v>0</v>
      </c>
      <c r="T20" s="40">
        <f>+S20*'Daten Versicherter'!$D$82</f>
        <v>0</v>
      </c>
      <c r="U20" s="38">
        <f t="shared" si="3"/>
        <v>0</v>
      </c>
      <c r="V20" s="40">
        <f>+U20*'Daten Versicherter'!$D$82</f>
        <v>0</v>
      </c>
      <c r="W20" s="38">
        <f t="shared" si="4"/>
        <v>0</v>
      </c>
      <c r="X20" s="40">
        <f>+W20*'Daten Versicherter'!$D$82</f>
        <v>0</v>
      </c>
    </row>
    <row r="21" spans="1:24" x14ac:dyDescent="0.2">
      <c r="A21">
        <v>32</v>
      </c>
      <c r="B21" s="4">
        <v>4.200000000000001E-2</v>
      </c>
      <c r="C21" s="4">
        <v>6.2000000000000006E-2</v>
      </c>
      <c r="D21" s="4">
        <v>8.8000000000000009E-2</v>
      </c>
      <c r="E21" s="4">
        <v>0.02</v>
      </c>
      <c r="F21" s="22">
        <f t="shared" si="0"/>
        <v>6.2000000000000013E-2</v>
      </c>
      <c r="G21" s="22">
        <f t="shared" si="1"/>
        <v>8.2000000000000003E-2</v>
      </c>
      <c r="H21" s="22">
        <f t="shared" si="2"/>
        <v>0.10800000000000001</v>
      </c>
      <c r="J21" s="27"/>
      <c r="M21" s="27"/>
      <c r="R21" s="38">
        <f>LOOKUP(S$2,' Beitragstabelle alt nur 2020 v'!B$5:D$5,' Beitragstabelle alt nur 2020 v'!B21:D21)+D21</f>
        <v>0.17600000000000002</v>
      </c>
      <c r="S21" s="38">
        <f t="shared" si="5"/>
        <v>0</v>
      </c>
      <c r="T21" s="40">
        <f>+S21*'Daten Versicherter'!$D$82</f>
        <v>0</v>
      </c>
      <c r="U21" s="38">
        <f t="shared" si="3"/>
        <v>0</v>
      </c>
      <c r="V21" s="40">
        <f>+U21*'Daten Versicherter'!$D$82</f>
        <v>0</v>
      </c>
      <c r="W21" s="38">
        <f t="shared" si="4"/>
        <v>0</v>
      </c>
      <c r="X21" s="40">
        <f>+W21*'Daten Versicherter'!$D$82</f>
        <v>0</v>
      </c>
    </row>
    <row r="22" spans="1:24" x14ac:dyDescent="0.2">
      <c r="A22">
        <v>33</v>
      </c>
      <c r="B22" s="4">
        <v>4.300000000000001E-2</v>
      </c>
      <c r="C22" s="4">
        <v>6.3E-2</v>
      </c>
      <c r="D22" s="4">
        <v>8.950000000000001E-2</v>
      </c>
      <c r="E22" s="4">
        <v>0.02</v>
      </c>
      <c r="F22" s="22">
        <f t="shared" si="0"/>
        <v>6.3000000000000014E-2</v>
      </c>
      <c r="G22" s="22">
        <f t="shared" si="1"/>
        <v>8.3000000000000004E-2</v>
      </c>
      <c r="H22" s="22">
        <f t="shared" si="2"/>
        <v>0.10950000000000001</v>
      </c>
      <c r="J22" s="27"/>
      <c r="M22" s="27"/>
      <c r="R22" s="38">
        <f>LOOKUP(S$2,' Beitragstabelle alt nur 2020 v'!B$5:D$5,' Beitragstabelle alt nur 2020 v'!B22:D22)+D22</f>
        <v>0.17900000000000002</v>
      </c>
      <c r="S22" s="38">
        <f t="shared" si="5"/>
        <v>0.17900000000000002</v>
      </c>
      <c r="T22" s="40">
        <f>+S22*'Daten Versicherter'!$D$82</f>
        <v>7562.7500000000009</v>
      </c>
      <c r="U22" s="38">
        <f>IF($S$3=$A22,E22,0)</f>
        <v>0.02</v>
      </c>
      <c r="V22" s="40">
        <f>+U22*'Daten Versicherter'!$D$82</f>
        <v>845</v>
      </c>
      <c r="W22" s="38">
        <f>IF($S$3=$A22,S22-H22+U22,0)</f>
        <v>8.950000000000001E-2</v>
      </c>
      <c r="X22" s="40">
        <f>+W22*'Daten Versicherter'!$D$82</f>
        <v>3781.3750000000005</v>
      </c>
    </row>
    <row r="23" spans="1:24" x14ac:dyDescent="0.2">
      <c r="A23">
        <v>34</v>
      </c>
      <c r="B23" s="4">
        <v>4.4000000000000011E-2</v>
      </c>
      <c r="C23" s="4">
        <v>6.4000000000000001E-2</v>
      </c>
      <c r="D23" s="4">
        <v>9.1000000000000011E-2</v>
      </c>
      <c r="E23" s="4">
        <v>0.02</v>
      </c>
      <c r="F23" s="22">
        <f t="shared" si="0"/>
        <v>6.4000000000000015E-2</v>
      </c>
      <c r="G23" s="22">
        <f t="shared" si="1"/>
        <v>8.4000000000000005E-2</v>
      </c>
      <c r="H23" s="22">
        <f t="shared" si="2"/>
        <v>0.11100000000000002</v>
      </c>
      <c r="J23" s="27"/>
      <c r="M23" s="27"/>
      <c r="R23" s="38">
        <f>LOOKUP(S$2,' Beitragstabelle alt nur 2020 v'!B$5:D$5,' Beitragstabelle alt nur 2020 v'!B23:D23)+D23</f>
        <v>0.18200000000000002</v>
      </c>
      <c r="S23" s="38">
        <f t="shared" si="5"/>
        <v>0</v>
      </c>
      <c r="T23" s="40">
        <f>+S23*'Daten Versicherter'!$D$82</f>
        <v>0</v>
      </c>
      <c r="U23" s="38">
        <f t="shared" ref="U23:U59" si="6">IF($S$3=$A23,E23,0)</f>
        <v>0</v>
      </c>
      <c r="V23" s="40">
        <f>+U23*'Daten Versicherter'!$D$82</f>
        <v>0</v>
      </c>
      <c r="W23" s="38">
        <f t="shared" ref="W23:W59" si="7">IF($S$3=$A23,S23-H23+U23,0)</f>
        <v>0</v>
      </c>
      <c r="X23" s="40">
        <f>+W23*'Daten Versicherter'!$D$82</f>
        <v>0</v>
      </c>
    </row>
    <row r="24" spans="1:24" x14ac:dyDescent="0.2">
      <c r="A24">
        <v>35</v>
      </c>
      <c r="B24" s="4">
        <v>4.5000000000000012E-2</v>
      </c>
      <c r="C24" s="4">
        <v>6.5000000000000002E-2</v>
      </c>
      <c r="D24" s="4">
        <v>9.2500000000000013E-2</v>
      </c>
      <c r="E24" s="4">
        <v>0.02</v>
      </c>
      <c r="F24" s="22">
        <f t="shared" si="0"/>
        <v>6.5000000000000016E-2</v>
      </c>
      <c r="G24" s="22">
        <f t="shared" si="1"/>
        <v>8.5000000000000006E-2</v>
      </c>
      <c r="H24" s="22">
        <f t="shared" si="2"/>
        <v>0.11250000000000002</v>
      </c>
      <c r="J24" s="27"/>
      <c r="M24" s="27"/>
      <c r="R24" s="38">
        <f>LOOKUP(S$2,' Beitragstabelle alt nur 2020 v'!B$5:D$5,' Beitragstabelle alt nur 2020 v'!B24:D24)+D24</f>
        <v>0.18500000000000003</v>
      </c>
      <c r="S24" s="38">
        <f t="shared" si="5"/>
        <v>0</v>
      </c>
      <c r="T24" s="40">
        <f>+S24*'Daten Versicherter'!$D$82</f>
        <v>0</v>
      </c>
      <c r="U24" s="38">
        <f t="shared" si="6"/>
        <v>0</v>
      </c>
      <c r="V24" s="40">
        <f>+U24*'Daten Versicherter'!$D$82</f>
        <v>0</v>
      </c>
      <c r="W24" s="38">
        <f t="shared" si="7"/>
        <v>0</v>
      </c>
      <c r="X24" s="40">
        <f>+W24*'Daten Versicherter'!$D$82</f>
        <v>0</v>
      </c>
    </row>
    <row r="25" spans="1:24" x14ac:dyDescent="0.2">
      <c r="A25">
        <v>36</v>
      </c>
      <c r="B25" s="4">
        <v>4.6000000000000013E-2</v>
      </c>
      <c r="C25" s="4">
        <v>6.6000000000000003E-2</v>
      </c>
      <c r="D25" s="4">
        <v>9.3500000000000014E-2</v>
      </c>
      <c r="E25" s="4">
        <v>0.02</v>
      </c>
      <c r="F25" s="22">
        <f t="shared" si="0"/>
        <v>6.6000000000000017E-2</v>
      </c>
      <c r="G25" s="22">
        <f t="shared" si="1"/>
        <v>8.6000000000000007E-2</v>
      </c>
      <c r="H25" s="22">
        <f t="shared" si="2"/>
        <v>0.11350000000000002</v>
      </c>
      <c r="J25" s="27"/>
      <c r="M25" s="27"/>
      <c r="R25" s="38">
        <f>LOOKUP(S$2,' Beitragstabelle alt nur 2020 v'!B$5:D$5,' Beitragstabelle alt nur 2020 v'!B25:D25)+D25</f>
        <v>0.18700000000000003</v>
      </c>
      <c r="S25" s="38">
        <f t="shared" si="5"/>
        <v>0</v>
      </c>
      <c r="T25" s="40">
        <f>+S25*'Daten Versicherter'!$D$82</f>
        <v>0</v>
      </c>
      <c r="U25" s="38">
        <f t="shared" si="6"/>
        <v>0</v>
      </c>
      <c r="V25" s="40">
        <f>+U25*'Daten Versicherter'!$D$82</f>
        <v>0</v>
      </c>
      <c r="W25" s="38">
        <f t="shared" si="7"/>
        <v>0</v>
      </c>
      <c r="X25" s="40">
        <f>+W25*'Daten Versicherter'!$D$82</f>
        <v>0</v>
      </c>
    </row>
    <row r="26" spans="1:24" x14ac:dyDescent="0.2">
      <c r="A26">
        <v>37</v>
      </c>
      <c r="B26" s="4">
        <v>4.7000000000000014E-2</v>
      </c>
      <c r="C26" s="4">
        <v>6.7000000000000004E-2</v>
      </c>
      <c r="D26" s="4">
        <v>9.5000000000000015E-2</v>
      </c>
      <c r="E26" s="4">
        <v>0.02</v>
      </c>
      <c r="F26" s="22">
        <f t="shared" si="0"/>
        <v>6.7000000000000018E-2</v>
      </c>
      <c r="G26" s="22">
        <f t="shared" si="1"/>
        <v>8.7000000000000008E-2</v>
      </c>
      <c r="H26" s="22">
        <f t="shared" si="2"/>
        <v>0.11500000000000002</v>
      </c>
      <c r="J26" s="27"/>
      <c r="M26" s="27"/>
      <c r="R26" s="38">
        <f>LOOKUP(S$2,' Beitragstabelle alt nur 2020 v'!B$5:D$5,' Beitragstabelle alt nur 2020 v'!B26:D26)+D26</f>
        <v>0.19000000000000003</v>
      </c>
      <c r="S26" s="38">
        <f t="shared" si="5"/>
        <v>0</v>
      </c>
      <c r="T26" s="40">
        <f>+S26*'Daten Versicherter'!$D$82</f>
        <v>0</v>
      </c>
      <c r="U26" s="38">
        <f t="shared" si="6"/>
        <v>0</v>
      </c>
      <c r="V26" s="40">
        <f>+U26*'Daten Versicherter'!$D$82</f>
        <v>0</v>
      </c>
      <c r="W26" s="38">
        <f t="shared" si="7"/>
        <v>0</v>
      </c>
      <c r="X26" s="40">
        <f>+W26*'Daten Versicherter'!$D$82</f>
        <v>0</v>
      </c>
    </row>
    <row r="27" spans="1:24" x14ac:dyDescent="0.2">
      <c r="A27">
        <v>38</v>
      </c>
      <c r="B27" s="4">
        <v>4.8000000000000015E-2</v>
      </c>
      <c r="C27" s="4">
        <v>6.8000000000000005E-2</v>
      </c>
      <c r="D27" s="4">
        <v>9.6500000000000016E-2</v>
      </c>
      <c r="E27" s="4">
        <v>0.02</v>
      </c>
      <c r="F27" s="22">
        <f t="shared" si="0"/>
        <v>6.8000000000000019E-2</v>
      </c>
      <c r="G27" s="22">
        <f t="shared" si="1"/>
        <v>8.8000000000000009E-2</v>
      </c>
      <c r="H27" s="22">
        <f t="shared" si="2"/>
        <v>0.11650000000000002</v>
      </c>
      <c r="J27" s="27"/>
      <c r="M27" s="27"/>
      <c r="R27" s="38">
        <f>LOOKUP(S$2,' Beitragstabelle alt nur 2020 v'!B$5:D$5,' Beitragstabelle alt nur 2020 v'!B27:D27)+D27</f>
        <v>0.19300000000000003</v>
      </c>
      <c r="S27" s="38">
        <f t="shared" si="5"/>
        <v>0</v>
      </c>
      <c r="T27" s="40">
        <f>+S27*'Daten Versicherter'!$D$82</f>
        <v>0</v>
      </c>
      <c r="U27" s="38">
        <f t="shared" si="6"/>
        <v>0</v>
      </c>
      <c r="V27" s="40">
        <f>+U27*'Daten Versicherter'!$D$82</f>
        <v>0</v>
      </c>
      <c r="W27" s="38">
        <f t="shared" si="7"/>
        <v>0</v>
      </c>
      <c r="X27" s="40">
        <f>+W27*'Daten Versicherter'!$D$82</f>
        <v>0</v>
      </c>
    </row>
    <row r="28" spans="1:24" x14ac:dyDescent="0.2">
      <c r="A28">
        <v>39</v>
      </c>
      <c r="B28" s="4">
        <v>4.9000000000000016E-2</v>
      </c>
      <c r="C28" s="4">
        <v>6.9000000000000006E-2</v>
      </c>
      <c r="D28" s="4">
        <v>9.8000000000000018E-2</v>
      </c>
      <c r="E28" s="4">
        <v>0.02</v>
      </c>
      <c r="F28" s="22">
        <f t="shared" si="0"/>
        <v>6.900000000000002E-2</v>
      </c>
      <c r="G28" s="22">
        <f t="shared" si="1"/>
        <v>8.900000000000001E-2</v>
      </c>
      <c r="H28" s="22">
        <f t="shared" si="2"/>
        <v>0.11800000000000002</v>
      </c>
      <c r="J28" s="27"/>
      <c r="M28" s="27"/>
      <c r="R28" s="38">
        <f>LOOKUP(S$2,' Beitragstabelle alt nur 2020 v'!B$5:D$5,' Beitragstabelle alt nur 2020 v'!B28:D28)+D28</f>
        <v>0.19600000000000004</v>
      </c>
      <c r="S28" s="38">
        <f t="shared" si="5"/>
        <v>0</v>
      </c>
      <c r="T28" s="40">
        <f>+S28*'Daten Versicherter'!$D$82</f>
        <v>0</v>
      </c>
      <c r="U28" s="38">
        <f t="shared" si="6"/>
        <v>0</v>
      </c>
      <c r="V28" s="40">
        <f>+U28*'Daten Versicherter'!$D$82</f>
        <v>0</v>
      </c>
      <c r="W28" s="38">
        <f t="shared" si="7"/>
        <v>0</v>
      </c>
      <c r="X28" s="40">
        <f>+W28*'Daten Versicherter'!$D$82</f>
        <v>0</v>
      </c>
    </row>
    <row r="29" spans="1:24" x14ac:dyDescent="0.2">
      <c r="A29">
        <v>40</v>
      </c>
      <c r="B29" s="4">
        <v>5.0000000000000017E-2</v>
      </c>
      <c r="C29" s="4">
        <v>7.0000000000000007E-2</v>
      </c>
      <c r="D29" s="4">
        <v>9.9500000000000019E-2</v>
      </c>
      <c r="E29" s="4">
        <v>0.02</v>
      </c>
      <c r="F29" s="22">
        <f t="shared" si="0"/>
        <v>7.0000000000000021E-2</v>
      </c>
      <c r="G29" s="22">
        <f t="shared" si="1"/>
        <v>9.0000000000000011E-2</v>
      </c>
      <c r="H29" s="22">
        <f t="shared" si="2"/>
        <v>0.11950000000000002</v>
      </c>
      <c r="J29" s="27"/>
      <c r="M29" s="27"/>
      <c r="R29" s="38">
        <f>LOOKUP(S$2,' Beitragstabelle alt nur 2020 v'!B$5:D$5,' Beitragstabelle alt nur 2020 v'!B29:D29)+D29</f>
        <v>0.19900000000000004</v>
      </c>
      <c r="S29" s="38">
        <f t="shared" si="5"/>
        <v>0</v>
      </c>
      <c r="T29" s="40">
        <f>+S29*'Daten Versicherter'!$D$82</f>
        <v>0</v>
      </c>
      <c r="U29" s="38">
        <f t="shared" si="6"/>
        <v>0</v>
      </c>
      <c r="V29" s="40">
        <f>+U29*'Daten Versicherter'!$D$82</f>
        <v>0</v>
      </c>
      <c r="W29" s="38">
        <f t="shared" si="7"/>
        <v>0</v>
      </c>
      <c r="X29" s="40">
        <f>+W29*'Daten Versicherter'!$D$82</f>
        <v>0</v>
      </c>
    </row>
    <row r="30" spans="1:24" x14ac:dyDescent="0.2">
      <c r="A30">
        <v>41</v>
      </c>
      <c r="B30" s="4">
        <v>5.1000000000000018E-2</v>
      </c>
      <c r="C30" s="4">
        <v>7.1000000000000008E-2</v>
      </c>
      <c r="D30" s="4">
        <v>0.10100000000000002</v>
      </c>
      <c r="E30" s="4">
        <v>0.02</v>
      </c>
      <c r="F30" s="22">
        <f t="shared" si="0"/>
        <v>7.1000000000000021E-2</v>
      </c>
      <c r="G30" s="22">
        <f t="shared" si="1"/>
        <v>9.1000000000000011E-2</v>
      </c>
      <c r="H30" s="22">
        <f t="shared" si="2"/>
        <v>0.12100000000000002</v>
      </c>
      <c r="J30" s="27"/>
      <c r="M30" s="27"/>
      <c r="R30" s="38">
        <f>LOOKUP(S$2,' Beitragstabelle alt nur 2020 v'!B$5:D$5,' Beitragstabelle alt nur 2020 v'!B30:D30)+D30</f>
        <v>0.20200000000000004</v>
      </c>
      <c r="S30" s="38">
        <f t="shared" si="5"/>
        <v>0</v>
      </c>
      <c r="T30" s="40">
        <f>+S30*'Daten Versicherter'!$D$82</f>
        <v>0</v>
      </c>
      <c r="U30" s="38">
        <f t="shared" si="6"/>
        <v>0</v>
      </c>
      <c r="V30" s="40">
        <f>+U30*'Daten Versicherter'!$D$82</f>
        <v>0</v>
      </c>
      <c r="W30" s="38">
        <f t="shared" si="7"/>
        <v>0</v>
      </c>
      <c r="X30" s="40">
        <f>+W30*'Daten Versicherter'!$D$82</f>
        <v>0</v>
      </c>
    </row>
    <row r="31" spans="1:24" x14ac:dyDescent="0.2">
      <c r="A31">
        <v>42</v>
      </c>
      <c r="B31" s="4">
        <v>5.2000000000000018E-2</v>
      </c>
      <c r="C31" s="4">
        <v>7.2000000000000008E-2</v>
      </c>
      <c r="D31" s="4">
        <v>0.10200000000000002</v>
      </c>
      <c r="E31" s="4">
        <v>0.02</v>
      </c>
      <c r="F31" s="22">
        <f t="shared" si="0"/>
        <v>7.2000000000000022E-2</v>
      </c>
      <c r="G31" s="22">
        <f t="shared" si="1"/>
        <v>9.2000000000000012E-2</v>
      </c>
      <c r="H31" s="22">
        <f t="shared" si="2"/>
        <v>0.12200000000000003</v>
      </c>
      <c r="J31" s="27"/>
      <c r="M31" s="27"/>
      <c r="R31" s="38">
        <f>LOOKUP(S$2,' Beitragstabelle alt nur 2020 v'!B$5:D$5,' Beitragstabelle alt nur 2020 v'!B31:D31)+D31</f>
        <v>0.20400000000000004</v>
      </c>
      <c r="S31" s="38">
        <f t="shared" si="5"/>
        <v>0</v>
      </c>
      <c r="T31" s="40">
        <f>+S31*'Daten Versicherter'!$D$82</f>
        <v>0</v>
      </c>
      <c r="U31" s="38">
        <f t="shared" si="6"/>
        <v>0</v>
      </c>
      <c r="V31" s="40">
        <f>+U31*'Daten Versicherter'!$D$82</f>
        <v>0</v>
      </c>
      <c r="W31" s="38">
        <f t="shared" si="7"/>
        <v>0</v>
      </c>
      <c r="X31" s="40">
        <f>+W31*'Daten Versicherter'!$D$82</f>
        <v>0</v>
      </c>
    </row>
    <row r="32" spans="1:24" x14ac:dyDescent="0.2">
      <c r="A32">
        <v>43</v>
      </c>
      <c r="B32" s="4">
        <v>5.3000000000000019E-2</v>
      </c>
      <c r="C32" s="4">
        <v>7.3000000000000009E-2</v>
      </c>
      <c r="D32" s="4">
        <v>0.10350000000000002</v>
      </c>
      <c r="E32" s="4">
        <v>0.02</v>
      </c>
      <c r="F32" s="22">
        <f t="shared" si="0"/>
        <v>7.3000000000000023E-2</v>
      </c>
      <c r="G32" s="22">
        <f t="shared" si="1"/>
        <v>9.3000000000000013E-2</v>
      </c>
      <c r="H32" s="22">
        <f t="shared" si="2"/>
        <v>0.12350000000000003</v>
      </c>
      <c r="J32" s="27"/>
      <c r="M32" s="27"/>
      <c r="R32" s="38">
        <f>LOOKUP(S$2,' Beitragstabelle alt nur 2020 v'!B$5:D$5,' Beitragstabelle alt nur 2020 v'!B32:D32)+D32</f>
        <v>0.20700000000000005</v>
      </c>
      <c r="S32" s="38">
        <f t="shared" si="5"/>
        <v>0</v>
      </c>
      <c r="T32" s="40">
        <f>+S32*'Daten Versicherter'!$D$82</f>
        <v>0</v>
      </c>
      <c r="U32" s="38">
        <f t="shared" si="6"/>
        <v>0</v>
      </c>
      <c r="V32" s="40">
        <f>+U32*'Daten Versicherter'!$D$82</f>
        <v>0</v>
      </c>
      <c r="W32" s="38">
        <f t="shared" si="7"/>
        <v>0</v>
      </c>
      <c r="X32" s="40">
        <f>+W32*'Daten Versicherter'!$D$82</f>
        <v>0</v>
      </c>
    </row>
    <row r="33" spans="1:24" x14ac:dyDescent="0.2">
      <c r="A33">
        <v>44</v>
      </c>
      <c r="B33" s="4">
        <v>5.400000000000002E-2</v>
      </c>
      <c r="C33" s="4">
        <v>7.400000000000001E-2</v>
      </c>
      <c r="D33" s="4">
        <v>0.10500000000000002</v>
      </c>
      <c r="E33" s="4">
        <v>0.02</v>
      </c>
      <c r="F33" s="22">
        <f t="shared" si="0"/>
        <v>7.4000000000000024E-2</v>
      </c>
      <c r="G33" s="22">
        <f t="shared" si="1"/>
        <v>9.4000000000000014E-2</v>
      </c>
      <c r="H33" s="22">
        <f t="shared" si="2"/>
        <v>0.12500000000000003</v>
      </c>
      <c r="J33" s="27"/>
      <c r="M33" s="27"/>
      <c r="R33" s="38">
        <f>LOOKUP(S$2,' Beitragstabelle alt nur 2020 v'!B$5:D$5,' Beitragstabelle alt nur 2020 v'!B33:D33)+D33</f>
        <v>0.21000000000000005</v>
      </c>
      <c r="S33" s="38">
        <f t="shared" si="5"/>
        <v>0</v>
      </c>
      <c r="T33" s="40">
        <f>+S33*'Daten Versicherter'!$D$82</f>
        <v>0</v>
      </c>
      <c r="U33" s="38">
        <f t="shared" si="6"/>
        <v>0</v>
      </c>
      <c r="V33" s="40">
        <f>+U33*'Daten Versicherter'!$D$82</f>
        <v>0</v>
      </c>
      <c r="W33" s="38">
        <f t="shared" si="7"/>
        <v>0</v>
      </c>
      <c r="X33" s="40">
        <f>+W33*'Daten Versicherter'!$D$82</f>
        <v>0</v>
      </c>
    </row>
    <row r="34" spans="1:24" x14ac:dyDescent="0.2">
      <c r="A34">
        <v>45</v>
      </c>
      <c r="B34" s="4">
        <v>5.5000000000000021E-2</v>
      </c>
      <c r="C34" s="4">
        <v>7.5000000000000011E-2</v>
      </c>
      <c r="D34" s="4">
        <v>0.10650000000000003</v>
      </c>
      <c r="E34" s="4">
        <v>0.02</v>
      </c>
      <c r="F34" s="22">
        <f t="shared" si="0"/>
        <v>7.5000000000000025E-2</v>
      </c>
      <c r="G34" s="22">
        <f t="shared" si="1"/>
        <v>9.5000000000000015E-2</v>
      </c>
      <c r="H34" s="22">
        <f t="shared" si="2"/>
        <v>0.12650000000000003</v>
      </c>
      <c r="J34" s="27"/>
      <c r="M34" s="27"/>
      <c r="R34" s="38">
        <f>LOOKUP(S$2,' Beitragstabelle alt nur 2020 v'!B$5:D$5,' Beitragstabelle alt nur 2020 v'!B34:D34)+D34</f>
        <v>0.21300000000000005</v>
      </c>
      <c r="S34" s="38">
        <f t="shared" si="5"/>
        <v>0</v>
      </c>
      <c r="T34" s="40">
        <f>+S34*'Daten Versicherter'!$D$82</f>
        <v>0</v>
      </c>
      <c r="U34" s="38">
        <f t="shared" si="6"/>
        <v>0</v>
      </c>
      <c r="V34" s="40">
        <f>+U34*'Daten Versicherter'!$D$82</f>
        <v>0</v>
      </c>
      <c r="W34" s="38">
        <f t="shared" si="7"/>
        <v>0</v>
      </c>
      <c r="X34" s="40">
        <f>+W34*'Daten Versicherter'!$D$82</f>
        <v>0</v>
      </c>
    </row>
    <row r="35" spans="1:24" x14ac:dyDescent="0.2">
      <c r="A35">
        <v>46</v>
      </c>
      <c r="B35" s="4">
        <v>5.6000000000000022E-2</v>
      </c>
      <c r="C35" s="4">
        <v>7.6000000000000012E-2</v>
      </c>
      <c r="D35" s="4">
        <v>0.10800000000000003</v>
      </c>
      <c r="E35" s="4">
        <v>0.02</v>
      </c>
      <c r="F35" s="22">
        <f t="shared" si="0"/>
        <v>7.6000000000000026E-2</v>
      </c>
      <c r="G35" s="22">
        <f t="shared" si="1"/>
        <v>9.6000000000000016E-2</v>
      </c>
      <c r="H35" s="22">
        <f t="shared" si="2"/>
        <v>0.12800000000000003</v>
      </c>
      <c r="J35" s="27"/>
      <c r="M35" s="27"/>
      <c r="R35" s="38">
        <f>LOOKUP(S$2,' Beitragstabelle alt nur 2020 v'!B$5:D$5,' Beitragstabelle alt nur 2020 v'!B35:D35)+D35</f>
        <v>0.21600000000000005</v>
      </c>
      <c r="S35" s="38">
        <f t="shared" si="5"/>
        <v>0</v>
      </c>
      <c r="T35" s="40">
        <f>+S35*'Daten Versicherter'!$D$82</f>
        <v>0</v>
      </c>
      <c r="U35" s="38">
        <f t="shared" si="6"/>
        <v>0</v>
      </c>
      <c r="V35" s="40">
        <f>+U35*'Daten Versicherter'!$D$82</f>
        <v>0</v>
      </c>
      <c r="W35" s="38">
        <f t="shared" si="7"/>
        <v>0</v>
      </c>
      <c r="X35" s="40">
        <f>+W35*'Daten Versicherter'!$D$82</f>
        <v>0</v>
      </c>
    </row>
    <row r="36" spans="1:24" x14ac:dyDescent="0.2">
      <c r="A36">
        <v>47</v>
      </c>
      <c r="B36" s="4">
        <v>5.7000000000000023E-2</v>
      </c>
      <c r="C36" s="4">
        <v>7.7000000000000013E-2</v>
      </c>
      <c r="D36" s="4">
        <v>0.10950000000000003</v>
      </c>
      <c r="E36" s="4">
        <v>0.02</v>
      </c>
      <c r="F36" s="22">
        <f t="shared" si="0"/>
        <v>7.7000000000000027E-2</v>
      </c>
      <c r="G36" s="22">
        <f t="shared" si="1"/>
        <v>9.7000000000000017E-2</v>
      </c>
      <c r="H36" s="22">
        <f t="shared" si="2"/>
        <v>0.12950000000000003</v>
      </c>
      <c r="J36" s="27"/>
      <c r="M36" s="27"/>
      <c r="R36" s="38">
        <f>LOOKUP(S$2,' Beitragstabelle alt nur 2020 v'!B$5:D$5,' Beitragstabelle alt nur 2020 v'!B36:D36)+D36</f>
        <v>0.21900000000000006</v>
      </c>
      <c r="S36" s="38">
        <f t="shared" si="5"/>
        <v>0</v>
      </c>
      <c r="T36" s="40">
        <f>+S36*'Daten Versicherter'!$D$82</f>
        <v>0</v>
      </c>
      <c r="U36" s="38">
        <f t="shared" si="6"/>
        <v>0</v>
      </c>
      <c r="V36" s="40">
        <f>+U36*'Daten Versicherter'!$D$82</f>
        <v>0</v>
      </c>
      <c r="W36" s="38">
        <f t="shared" si="7"/>
        <v>0</v>
      </c>
      <c r="X36" s="40">
        <f>+W36*'Daten Versicherter'!$D$82</f>
        <v>0</v>
      </c>
    </row>
    <row r="37" spans="1:24" x14ac:dyDescent="0.2">
      <c r="A37">
        <v>48</v>
      </c>
      <c r="B37" s="4">
        <v>5.8000000000000024E-2</v>
      </c>
      <c r="C37" s="4">
        <v>7.8000000000000014E-2</v>
      </c>
      <c r="D37" s="4">
        <v>0.11100000000000003</v>
      </c>
      <c r="E37" s="4">
        <v>0.02</v>
      </c>
      <c r="F37" s="22">
        <f t="shared" si="0"/>
        <v>7.8000000000000028E-2</v>
      </c>
      <c r="G37" s="22">
        <f t="shared" si="1"/>
        <v>9.8000000000000018E-2</v>
      </c>
      <c r="H37" s="22">
        <f t="shared" si="2"/>
        <v>0.13100000000000003</v>
      </c>
      <c r="J37" s="27"/>
      <c r="M37" s="27"/>
      <c r="R37" s="38">
        <f>LOOKUP(S$2,' Beitragstabelle alt nur 2020 v'!B$5:D$5,' Beitragstabelle alt nur 2020 v'!B37:D37)+D37</f>
        <v>0.22200000000000006</v>
      </c>
      <c r="S37" s="38">
        <f t="shared" si="5"/>
        <v>0</v>
      </c>
      <c r="T37" s="40">
        <f>+S37*'Daten Versicherter'!$D$82</f>
        <v>0</v>
      </c>
      <c r="U37" s="38">
        <f t="shared" si="6"/>
        <v>0</v>
      </c>
      <c r="V37" s="40">
        <f>+U37*'Daten Versicherter'!$D$82</f>
        <v>0</v>
      </c>
      <c r="W37" s="38">
        <f t="shared" si="7"/>
        <v>0</v>
      </c>
      <c r="X37" s="40">
        <f>+W37*'Daten Versicherter'!$D$82</f>
        <v>0</v>
      </c>
    </row>
    <row r="38" spans="1:24" x14ac:dyDescent="0.2">
      <c r="A38">
        <v>49</v>
      </c>
      <c r="B38" s="4">
        <v>5.9000000000000025E-2</v>
      </c>
      <c r="C38" s="4">
        <v>7.9000000000000015E-2</v>
      </c>
      <c r="D38" s="4">
        <v>0.11200000000000003</v>
      </c>
      <c r="E38" s="4">
        <v>0.02</v>
      </c>
      <c r="F38" s="22">
        <f t="shared" ref="F38:F59" si="8">+B38+$E38</f>
        <v>7.9000000000000029E-2</v>
      </c>
      <c r="G38" s="22">
        <f t="shared" ref="G38:G59" si="9">+C38+$E38</f>
        <v>9.9000000000000019E-2</v>
      </c>
      <c r="H38" s="22">
        <f t="shared" ref="H38:H59" si="10">+D38+$E38</f>
        <v>0.13200000000000003</v>
      </c>
      <c r="J38" s="27"/>
      <c r="M38" s="27"/>
      <c r="R38" s="38">
        <f>LOOKUP(S$2,' Beitragstabelle alt nur 2020 v'!B$5:D$5,' Beitragstabelle alt nur 2020 v'!B38:D38)+D38</f>
        <v>0.22400000000000006</v>
      </c>
      <c r="S38" s="38">
        <f t="shared" si="5"/>
        <v>0</v>
      </c>
      <c r="T38" s="40">
        <f>+S38*'Daten Versicherter'!$D$82</f>
        <v>0</v>
      </c>
      <c r="U38" s="38">
        <f t="shared" si="6"/>
        <v>0</v>
      </c>
      <c r="V38" s="40">
        <f>+U38*'Daten Versicherter'!$D$82</f>
        <v>0</v>
      </c>
      <c r="W38" s="38">
        <f t="shared" si="7"/>
        <v>0</v>
      </c>
      <c r="X38" s="40">
        <f>+W38*'Daten Versicherter'!$D$82</f>
        <v>0</v>
      </c>
    </row>
    <row r="39" spans="1:24" x14ac:dyDescent="0.2">
      <c r="A39">
        <v>50</v>
      </c>
      <c r="B39" s="4">
        <v>6.0000000000000026E-2</v>
      </c>
      <c r="C39" s="4">
        <v>8.0000000000000016E-2</v>
      </c>
      <c r="D39" s="4">
        <v>0.1225</v>
      </c>
      <c r="E39" s="4">
        <v>0.02</v>
      </c>
      <c r="F39" s="22">
        <f t="shared" si="8"/>
        <v>8.0000000000000029E-2</v>
      </c>
      <c r="G39" s="22">
        <f t="shared" si="9"/>
        <v>0.10000000000000002</v>
      </c>
      <c r="H39" s="22">
        <f t="shared" si="10"/>
        <v>0.14249999999999999</v>
      </c>
      <c r="J39" s="27"/>
      <c r="M39" s="27"/>
      <c r="R39" s="38">
        <f>LOOKUP(S$2,' Beitragstabelle alt nur 2020 v'!B$5:D$5,' Beitragstabelle alt nur 2020 v'!B39:D39)+D39</f>
        <v>0.245</v>
      </c>
      <c r="S39" s="38">
        <f t="shared" ref="S39:S59" si="11">IF(S$3=A39,R39,0)</f>
        <v>0</v>
      </c>
      <c r="T39" s="40">
        <f>+S39*'Daten Versicherter'!$D$82</f>
        <v>0</v>
      </c>
      <c r="U39" s="38">
        <f t="shared" si="6"/>
        <v>0</v>
      </c>
      <c r="V39" s="40">
        <f>+U39*'Daten Versicherter'!$D$82</f>
        <v>0</v>
      </c>
      <c r="W39" s="38">
        <f t="shared" si="7"/>
        <v>0</v>
      </c>
      <c r="X39" s="40">
        <f>+W39*'Daten Versicherter'!$D$82</f>
        <v>0</v>
      </c>
    </row>
    <row r="40" spans="1:24" x14ac:dyDescent="0.2">
      <c r="A40">
        <v>51</v>
      </c>
      <c r="B40" s="4">
        <v>6.1000000000000026E-2</v>
      </c>
      <c r="C40" s="4">
        <v>8.1000000000000016E-2</v>
      </c>
      <c r="D40" s="4">
        <v>0.124</v>
      </c>
      <c r="E40" s="4">
        <v>0.02</v>
      </c>
      <c r="F40" s="22">
        <f t="shared" si="8"/>
        <v>8.100000000000003E-2</v>
      </c>
      <c r="G40" s="22">
        <f t="shared" si="9"/>
        <v>0.10100000000000002</v>
      </c>
      <c r="H40" s="22">
        <f t="shared" si="10"/>
        <v>0.14399999999999999</v>
      </c>
      <c r="J40" s="27"/>
      <c r="M40" s="27"/>
      <c r="R40" s="38">
        <f>LOOKUP(S$2,' Beitragstabelle alt nur 2020 v'!B$5:D$5,' Beitragstabelle alt nur 2020 v'!B40:D40)+D40</f>
        <v>0.248</v>
      </c>
      <c r="S40" s="38">
        <f t="shared" si="11"/>
        <v>0</v>
      </c>
      <c r="T40" s="40">
        <f>+S40*'Daten Versicherter'!$D$82</f>
        <v>0</v>
      </c>
      <c r="U40" s="38">
        <f t="shared" si="6"/>
        <v>0</v>
      </c>
      <c r="V40" s="40">
        <f>+U40*'Daten Versicherter'!$D$82</f>
        <v>0</v>
      </c>
      <c r="W40" s="38">
        <f t="shared" si="7"/>
        <v>0</v>
      </c>
      <c r="X40" s="40">
        <f>+W40*'Daten Versicherter'!$D$82</f>
        <v>0</v>
      </c>
    </row>
    <row r="41" spans="1:24" x14ac:dyDescent="0.2">
      <c r="A41">
        <v>52</v>
      </c>
      <c r="B41" s="4">
        <v>6.2000000000000027E-2</v>
      </c>
      <c r="C41" s="4">
        <v>8.2000000000000017E-2</v>
      </c>
      <c r="D41" s="4">
        <v>0.1255</v>
      </c>
      <c r="E41" s="4">
        <v>0.02</v>
      </c>
      <c r="F41" s="22">
        <f t="shared" si="8"/>
        <v>8.2000000000000031E-2</v>
      </c>
      <c r="G41" s="22">
        <f t="shared" si="9"/>
        <v>0.10200000000000002</v>
      </c>
      <c r="H41" s="22">
        <f t="shared" si="10"/>
        <v>0.14549999999999999</v>
      </c>
      <c r="J41" s="27"/>
      <c r="M41" s="27"/>
      <c r="R41" s="38">
        <f>LOOKUP(S$2,' Beitragstabelle alt nur 2020 v'!B$5:D$5,' Beitragstabelle alt nur 2020 v'!B41:D41)+D41</f>
        <v>0.251</v>
      </c>
      <c r="S41" s="38">
        <f t="shared" si="11"/>
        <v>0</v>
      </c>
      <c r="T41" s="40">
        <f>+S41*'Daten Versicherter'!$D$82</f>
        <v>0</v>
      </c>
      <c r="U41" s="38">
        <f t="shared" si="6"/>
        <v>0</v>
      </c>
      <c r="V41" s="40">
        <f>+U41*'Daten Versicherter'!$D$82</f>
        <v>0</v>
      </c>
      <c r="W41" s="38">
        <f t="shared" si="7"/>
        <v>0</v>
      </c>
      <c r="X41" s="40">
        <f>+W41*'Daten Versicherter'!$D$82</f>
        <v>0</v>
      </c>
    </row>
    <row r="42" spans="1:24" x14ac:dyDescent="0.2">
      <c r="A42">
        <v>53</v>
      </c>
      <c r="B42" s="4">
        <v>6.3000000000000028E-2</v>
      </c>
      <c r="C42" s="4">
        <v>8.3000000000000018E-2</v>
      </c>
      <c r="D42" s="4">
        <v>0.127</v>
      </c>
      <c r="E42" s="4">
        <v>0.02</v>
      </c>
      <c r="F42" s="22">
        <f t="shared" si="8"/>
        <v>8.3000000000000032E-2</v>
      </c>
      <c r="G42" s="22">
        <f t="shared" si="9"/>
        <v>0.10300000000000002</v>
      </c>
      <c r="H42" s="22">
        <f t="shared" si="10"/>
        <v>0.14699999999999999</v>
      </c>
      <c r="J42" s="27"/>
      <c r="M42" s="27"/>
      <c r="R42" s="38">
        <f>LOOKUP(S$2,' Beitragstabelle alt nur 2020 v'!B$5:D$5,' Beitragstabelle alt nur 2020 v'!B42:D42)+D42</f>
        <v>0.254</v>
      </c>
      <c r="S42" s="38">
        <f t="shared" si="11"/>
        <v>0</v>
      </c>
      <c r="T42" s="40">
        <f>+S42*'Daten Versicherter'!$D$82</f>
        <v>0</v>
      </c>
      <c r="U42" s="38">
        <f t="shared" si="6"/>
        <v>0</v>
      </c>
      <c r="V42" s="40">
        <f>+U42*'Daten Versicherter'!$D$82</f>
        <v>0</v>
      </c>
      <c r="W42" s="38">
        <f t="shared" si="7"/>
        <v>0</v>
      </c>
      <c r="X42" s="40">
        <f>+W42*'Daten Versicherter'!$D$82</f>
        <v>0</v>
      </c>
    </row>
    <row r="43" spans="1:24" x14ac:dyDescent="0.2">
      <c r="A43">
        <v>54</v>
      </c>
      <c r="B43" s="4">
        <v>6.4000000000000029E-2</v>
      </c>
      <c r="C43" s="4">
        <v>8.4000000000000019E-2</v>
      </c>
      <c r="D43" s="4">
        <v>0.1285</v>
      </c>
      <c r="E43" s="4">
        <v>0.02</v>
      </c>
      <c r="F43" s="22">
        <f t="shared" si="8"/>
        <v>8.4000000000000033E-2</v>
      </c>
      <c r="G43" s="22">
        <f t="shared" si="9"/>
        <v>0.10400000000000002</v>
      </c>
      <c r="H43" s="22">
        <f t="shared" si="10"/>
        <v>0.14849999999999999</v>
      </c>
      <c r="J43" s="27"/>
      <c r="M43" s="27"/>
      <c r="R43" s="38">
        <f>LOOKUP(S$2,' Beitragstabelle alt nur 2020 v'!B$5:D$5,' Beitragstabelle alt nur 2020 v'!B43:D43)+D43</f>
        <v>0.25700000000000001</v>
      </c>
      <c r="S43" s="38">
        <f t="shared" si="11"/>
        <v>0</v>
      </c>
      <c r="T43" s="40">
        <f>+S43*'Daten Versicherter'!$D$82</f>
        <v>0</v>
      </c>
      <c r="U43" s="38">
        <f t="shared" si="6"/>
        <v>0</v>
      </c>
      <c r="V43" s="40">
        <f>+U43*'Daten Versicherter'!$D$82</f>
        <v>0</v>
      </c>
      <c r="W43" s="38">
        <f t="shared" si="7"/>
        <v>0</v>
      </c>
      <c r="X43" s="40">
        <f>+W43*'Daten Versicherter'!$D$82</f>
        <v>0</v>
      </c>
    </row>
    <row r="44" spans="1:24" x14ac:dyDescent="0.2">
      <c r="A44">
        <v>55</v>
      </c>
      <c r="B44" s="4">
        <v>6.500000000000003E-2</v>
      </c>
      <c r="C44" s="4">
        <v>8.500000000000002E-2</v>
      </c>
      <c r="D44" s="4">
        <v>0.13</v>
      </c>
      <c r="E44" s="4">
        <v>0.02</v>
      </c>
      <c r="F44" s="22">
        <f t="shared" si="8"/>
        <v>8.5000000000000034E-2</v>
      </c>
      <c r="G44" s="22">
        <f t="shared" si="9"/>
        <v>0.10500000000000002</v>
      </c>
      <c r="H44" s="22">
        <f t="shared" si="10"/>
        <v>0.15</v>
      </c>
      <c r="J44" s="27"/>
      <c r="M44" s="27"/>
      <c r="R44" s="38">
        <f>LOOKUP(S$2,' Beitragstabelle alt nur 2020 v'!B$5:D$5,' Beitragstabelle alt nur 2020 v'!B44:D44)+D44</f>
        <v>0.26</v>
      </c>
      <c r="S44" s="38">
        <f t="shared" si="11"/>
        <v>0</v>
      </c>
      <c r="T44" s="40">
        <f>+S44*'Daten Versicherter'!$D$82</f>
        <v>0</v>
      </c>
      <c r="U44" s="38">
        <f t="shared" si="6"/>
        <v>0</v>
      </c>
      <c r="V44" s="40">
        <f>+U44*'Daten Versicherter'!$D$82</f>
        <v>0</v>
      </c>
      <c r="W44" s="38">
        <f t="shared" si="7"/>
        <v>0</v>
      </c>
      <c r="X44" s="40">
        <f>+W44*'Daten Versicherter'!$D$82</f>
        <v>0</v>
      </c>
    </row>
    <row r="45" spans="1:24" x14ac:dyDescent="0.2">
      <c r="A45">
        <v>56</v>
      </c>
      <c r="B45" s="4">
        <v>6.500000000000003E-2</v>
      </c>
      <c r="C45" s="4">
        <v>8.500000000000002E-2</v>
      </c>
      <c r="D45" s="4">
        <v>0.13</v>
      </c>
      <c r="E45" s="4">
        <v>0.02</v>
      </c>
      <c r="F45" s="22">
        <f t="shared" si="8"/>
        <v>8.5000000000000034E-2</v>
      </c>
      <c r="G45" s="22">
        <f t="shared" si="9"/>
        <v>0.10500000000000002</v>
      </c>
      <c r="H45" s="22">
        <f t="shared" si="10"/>
        <v>0.15</v>
      </c>
      <c r="J45" s="27"/>
      <c r="M45" s="27"/>
      <c r="R45" s="38">
        <f>LOOKUP(S$2,' Beitragstabelle alt nur 2020 v'!B$5:D$5,' Beitragstabelle alt nur 2020 v'!B45:D45)+D45</f>
        <v>0.26</v>
      </c>
      <c r="S45" s="38">
        <f t="shared" si="11"/>
        <v>0</v>
      </c>
      <c r="T45" s="40">
        <f>+S45*'Daten Versicherter'!$D$82</f>
        <v>0</v>
      </c>
      <c r="U45" s="38">
        <f t="shared" si="6"/>
        <v>0</v>
      </c>
      <c r="V45" s="40">
        <f>+U45*'Daten Versicherter'!$D$82</f>
        <v>0</v>
      </c>
      <c r="W45" s="38">
        <f t="shared" si="7"/>
        <v>0</v>
      </c>
      <c r="X45" s="40">
        <f>+W45*'Daten Versicherter'!$D$82</f>
        <v>0</v>
      </c>
    </row>
    <row r="46" spans="1:24" x14ac:dyDescent="0.2">
      <c r="A46">
        <v>57</v>
      </c>
      <c r="B46" s="4">
        <v>6.500000000000003E-2</v>
      </c>
      <c r="C46" s="4">
        <v>8.500000000000002E-2</v>
      </c>
      <c r="D46" s="4">
        <v>0.13</v>
      </c>
      <c r="E46" s="4">
        <v>0.02</v>
      </c>
      <c r="F46" s="22">
        <f t="shared" si="8"/>
        <v>8.5000000000000034E-2</v>
      </c>
      <c r="G46" s="22">
        <f t="shared" si="9"/>
        <v>0.10500000000000002</v>
      </c>
      <c r="H46" s="22">
        <f t="shared" si="10"/>
        <v>0.15</v>
      </c>
      <c r="J46" s="27"/>
      <c r="M46" s="27"/>
      <c r="R46" s="38">
        <f>LOOKUP(S$2,' Beitragstabelle alt nur 2020 v'!B$5:D$5,' Beitragstabelle alt nur 2020 v'!B46:D46)+D46</f>
        <v>0.26</v>
      </c>
      <c r="S46" s="38">
        <f t="shared" si="11"/>
        <v>0</v>
      </c>
      <c r="T46" s="40">
        <f>+S46*'Daten Versicherter'!$D$82</f>
        <v>0</v>
      </c>
      <c r="U46" s="38">
        <f t="shared" si="6"/>
        <v>0</v>
      </c>
      <c r="V46" s="40">
        <f>+U46*'Daten Versicherter'!$D$82</f>
        <v>0</v>
      </c>
      <c r="W46" s="38">
        <f t="shared" si="7"/>
        <v>0</v>
      </c>
      <c r="X46" s="40">
        <f>+W46*'Daten Versicherter'!$D$82</f>
        <v>0</v>
      </c>
    </row>
    <row r="47" spans="1:24" x14ac:dyDescent="0.2">
      <c r="A47">
        <v>58</v>
      </c>
      <c r="B47" s="4">
        <v>6.500000000000003E-2</v>
      </c>
      <c r="C47" s="4">
        <v>8.500000000000002E-2</v>
      </c>
      <c r="D47" s="4">
        <v>0.13</v>
      </c>
      <c r="E47" s="4">
        <v>0.02</v>
      </c>
      <c r="F47" s="22">
        <f t="shared" si="8"/>
        <v>8.5000000000000034E-2</v>
      </c>
      <c r="G47" s="22">
        <f t="shared" si="9"/>
        <v>0.10500000000000002</v>
      </c>
      <c r="H47" s="22">
        <f t="shared" si="10"/>
        <v>0.15</v>
      </c>
      <c r="J47" s="27"/>
      <c r="M47" s="27"/>
      <c r="R47" s="38">
        <f>LOOKUP(S$2,' Beitragstabelle alt nur 2020 v'!B$5:D$5,' Beitragstabelle alt nur 2020 v'!B47:D47)+D47</f>
        <v>0.26</v>
      </c>
      <c r="S47" s="38">
        <f t="shared" si="11"/>
        <v>0</v>
      </c>
      <c r="T47" s="40">
        <f>+S47*'Daten Versicherter'!$D$82</f>
        <v>0</v>
      </c>
      <c r="U47" s="38">
        <f t="shared" si="6"/>
        <v>0</v>
      </c>
      <c r="V47" s="40">
        <f>+U47*'Daten Versicherter'!$D$82</f>
        <v>0</v>
      </c>
      <c r="W47" s="38">
        <f t="shared" si="7"/>
        <v>0</v>
      </c>
      <c r="X47" s="40">
        <f>+W47*'Daten Versicherter'!$D$82</f>
        <v>0</v>
      </c>
    </row>
    <row r="48" spans="1:24" x14ac:dyDescent="0.2">
      <c r="A48">
        <v>59</v>
      </c>
      <c r="B48" s="4">
        <v>6.500000000000003E-2</v>
      </c>
      <c r="C48" s="4">
        <v>8.500000000000002E-2</v>
      </c>
      <c r="D48" s="4">
        <v>0.13</v>
      </c>
      <c r="E48" s="4">
        <v>0.02</v>
      </c>
      <c r="F48" s="22">
        <f t="shared" si="8"/>
        <v>8.5000000000000034E-2</v>
      </c>
      <c r="G48" s="22">
        <f t="shared" si="9"/>
        <v>0.10500000000000002</v>
      </c>
      <c r="H48" s="22">
        <f t="shared" si="10"/>
        <v>0.15</v>
      </c>
      <c r="J48" s="27"/>
      <c r="M48" s="27"/>
      <c r="R48" s="38">
        <f>LOOKUP(S$2,' Beitragstabelle alt nur 2020 v'!B$5:D$5,' Beitragstabelle alt nur 2020 v'!B48:D48)+D48</f>
        <v>0.26</v>
      </c>
      <c r="S48" s="38">
        <f t="shared" si="11"/>
        <v>0</v>
      </c>
      <c r="T48" s="40">
        <f>+S48*'Daten Versicherter'!$D$82</f>
        <v>0</v>
      </c>
      <c r="U48" s="38">
        <f t="shared" si="6"/>
        <v>0</v>
      </c>
      <c r="V48" s="40">
        <f>+U48*'Daten Versicherter'!$D$82</f>
        <v>0</v>
      </c>
      <c r="W48" s="38">
        <f t="shared" si="7"/>
        <v>0</v>
      </c>
      <c r="X48" s="40">
        <f>+W48*'Daten Versicherter'!$D$82</f>
        <v>0</v>
      </c>
    </row>
    <row r="49" spans="1:24" x14ac:dyDescent="0.2">
      <c r="A49">
        <v>60</v>
      </c>
      <c r="B49" s="4">
        <v>6.500000000000003E-2</v>
      </c>
      <c r="C49" s="4">
        <v>8.500000000000002E-2</v>
      </c>
      <c r="D49" s="4">
        <v>0.13</v>
      </c>
      <c r="E49" s="4">
        <v>0.02</v>
      </c>
      <c r="F49" s="22">
        <f t="shared" si="8"/>
        <v>8.5000000000000034E-2</v>
      </c>
      <c r="G49" s="22">
        <f t="shared" si="9"/>
        <v>0.10500000000000002</v>
      </c>
      <c r="H49" s="22">
        <f t="shared" si="10"/>
        <v>0.15</v>
      </c>
      <c r="J49" s="27"/>
      <c r="M49" s="27"/>
      <c r="R49" s="38">
        <f>LOOKUP(S$2,' Beitragstabelle alt nur 2020 v'!B$5:D$5,' Beitragstabelle alt nur 2020 v'!B49:D49)+D49</f>
        <v>0.26</v>
      </c>
      <c r="S49" s="38">
        <f t="shared" si="11"/>
        <v>0</v>
      </c>
      <c r="T49" s="40">
        <f>+S49*'Daten Versicherter'!$D$82</f>
        <v>0</v>
      </c>
      <c r="U49" s="38">
        <f t="shared" si="6"/>
        <v>0</v>
      </c>
      <c r="V49" s="40">
        <f>+U49*'Daten Versicherter'!$D$82</f>
        <v>0</v>
      </c>
      <c r="W49" s="38">
        <f t="shared" si="7"/>
        <v>0</v>
      </c>
      <c r="X49" s="40">
        <f>+W49*'Daten Versicherter'!$D$82</f>
        <v>0</v>
      </c>
    </row>
    <row r="50" spans="1:24" x14ac:dyDescent="0.2">
      <c r="A50">
        <v>61</v>
      </c>
      <c r="B50" s="4">
        <v>6.500000000000003E-2</v>
      </c>
      <c r="C50" s="4">
        <v>8.500000000000002E-2</v>
      </c>
      <c r="D50" s="4">
        <v>0.13</v>
      </c>
      <c r="E50" s="4">
        <v>0.02</v>
      </c>
      <c r="F50" s="22">
        <f t="shared" si="8"/>
        <v>8.5000000000000034E-2</v>
      </c>
      <c r="G50" s="22">
        <f t="shared" si="9"/>
        <v>0.10500000000000002</v>
      </c>
      <c r="H50" s="22">
        <f t="shared" si="10"/>
        <v>0.15</v>
      </c>
      <c r="J50" s="27"/>
      <c r="M50" s="27"/>
      <c r="R50" s="38">
        <f>LOOKUP(S$2,' Beitragstabelle alt nur 2020 v'!B$5:D$5,' Beitragstabelle alt nur 2020 v'!B50:D50)+D50</f>
        <v>0.26</v>
      </c>
      <c r="S50" s="38">
        <f t="shared" si="11"/>
        <v>0</v>
      </c>
      <c r="T50" s="40">
        <f>+S50*'Daten Versicherter'!$D$82</f>
        <v>0</v>
      </c>
      <c r="U50" s="38">
        <f t="shared" si="6"/>
        <v>0</v>
      </c>
      <c r="V50" s="40">
        <f>+U50*'Daten Versicherter'!$D$82</f>
        <v>0</v>
      </c>
      <c r="W50" s="38">
        <f t="shared" si="7"/>
        <v>0</v>
      </c>
      <c r="X50" s="40">
        <f>+W50*'Daten Versicherter'!$D$82</f>
        <v>0</v>
      </c>
    </row>
    <row r="51" spans="1:24" x14ac:dyDescent="0.2">
      <c r="A51">
        <v>62</v>
      </c>
      <c r="B51" s="4">
        <v>6.500000000000003E-2</v>
      </c>
      <c r="C51" s="4">
        <v>8.500000000000002E-2</v>
      </c>
      <c r="D51" s="4">
        <v>0.13</v>
      </c>
      <c r="E51" s="4">
        <v>0.02</v>
      </c>
      <c r="F51" s="22">
        <f t="shared" si="8"/>
        <v>8.5000000000000034E-2</v>
      </c>
      <c r="G51" s="22">
        <f t="shared" si="9"/>
        <v>0.10500000000000002</v>
      </c>
      <c r="H51" s="22">
        <f t="shared" si="10"/>
        <v>0.15</v>
      </c>
      <c r="J51" s="27"/>
      <c r="M51" s="27"/>
      <c r="R51" s="38">
        <f>LOOKUP(S$2,' Beitragstabelle alt nur 2020 v'!B$5:D$5,' Beitragstabelle alt nur 2020 v'!B51:D51)+D51</f>
        <v>0.26</v>
      </c>
      <c r="S51" s="38">
        <f t="shared" si="11"/>
        <v>0</v>
      </c>
      <c r="T51" s="40">
        <f>+S51*'Daten Versicherter'!$D$82</f>
        <v>0</v>
      </c>
      <c r="U51" s="38">
        <f t="shared" si="6"/>
        <v>0</v>
      </c>
      <c r="V51" s="40">
        <f>+U51*'Daten Versicherter'!$D$82</f>
        <v>0</v>
      </c>
      <c r="W51" s="38">
        <f t="shared" si="7"/>
        <v>0</v>
      </c>
      <c r="X51" s="40">
        <f>+W51*'Daten Versicherter'!$D$82</f>
        <v>0</v>
      </c>
    </row>
    <row r="52" spans="1:24" x14ac:dyDescent="0.2">
      <c r="A52">
        <v>63</v>
      </c>
      <c r="B52" s="4">
        <v>6.500000000000003E-2</v>
      </c>
      <c r="C52" s="4">
        <v>8.500000000000002E-2</v>
      </c>
      <c r="D52" s="4">
        <v>0.13</v>
      </c>
      <c r="E52" s="4">
        <v>0.02</v>
      </c>
      <c r="F52" s="22">
        <f t="shared" si="8"/>
        <v>8.5000000000000034E-2</v>
      </c>
      <c r="G52" s="22">
        <f t="shared" si="9"/>
        <v>0.10500000000000002</v>
      </c>
      <c r="H52" s="22">
        <f t="shared" si="10"/>
        <v>0.15</v>
      </c>
      <c r="J52" s="27"/>
      <c r="M52" s="27"/>
      <c r="R52" s="38">
        <f>LOOKUP(S$2,' Beitragstabelle alt nur 2020 v'!B$5:D$5,' Beitragstabelle alt nur 2020 v'!B52:D52)+D52</f>
        <v>0.26</v>
      </c>
      <c r="S52" s="38">
        <f t="shared" si="11"/>
        <v>0</v>
      </c>
      <c r="T52" s="40">
        <f>+S52*'Daten Versicherter'!$D$82</f>
        <v>0</v>
      </c>
      <c r="U52" s="38">
        <f t="shared" si="6"/>
        <v>0</v>
      </c>
      <c r="V52" s="40">
        <f>+U52*'Daten Versicherter'!$D$82</f>
        <v>0</v>
      </c>
      <c r="W52" s="38">
        <f t="shared" si="7"/>
        <v>0</v>
      </c>
      <c r="X52" s="40">
        <f>+W52*'Daten Versicherter'!$D$82</f>
        <v>0</v>
      </c>
    </row>
    <row r="53" spans="1:24" x14ac:dyDescent="0.2">
      <c r="A53">
        <v>64</v>
      </c>
      <c r="B53" s="4">
        <v>6.500000000000003E-2</v>
      </c>
      <c r="C53" s="4">
        <v>8.500000000000002E-2</v>
      </c>
      <c r="D53" s="4">
        <v>0.13</v>
      </c>
      <c r="E53" s="4">
        <v>0.02</v>
      </c>
      <c r="F53" s="22">
        <f t="shared" si="8"/>
        <v>8.5000000000000034E-2</v>
      </c>
      <c r="G53" s="22">
        <f t="shared" si="9"/>
        <v>0.10500000000000002</v>
      </c>
      <c r="H53" s="22">
        <f t="shared" si="10"/>
        <v>0.15</v>
      </c>
      <c r="J53" s="27"/>
      <c r="M53" s="27"/>
      <c r="R53" s="38">
        <f>LOOKUP(S$2,' Beitragstabelle alt nur 2020 v'!B$5:D$5,' Beitragstabelle alt nur 2020 v'!B53:D53)+D53</f>
        <v>0.26</v>
      </c>
      <c r="S53" s="38">
        <f t="shared" si="11"/>
        <v>0</v>
      </c>
      <c r="T53" s="40">
        <f>+S53*'Daten Versicherter'!$D$82</f>
        <v>0</v>
      </c>
      <c r="U53" s="38">
        <f t="shared" si="6"/>
        <v>0</v>
      </c>
      <c r="V53" s="40">
        <f>+U53*'Daten Versicherter'!$D$82</f>
        <v>0</v>
      </c>
      <c r="W53" s="38">
        <f t="shared" si="7"/>
        <v>0</v>
      </c>
      <c r="X53" s="40">
        <f>+W53*'Daten Versicherter'!$D$82</f>
        <v>0</v>
      </c>
    </row>
    <row r="54" spans="1:24" x14ac:dyDescent="0.2">
      <c r="A54">
        <v>65</v>
      </c>
      <c r="B54" s="4">
        <v>6.500000000000003E-2</v>
      </c>
      <c r="C54" s="4">
        <v>8.500000000000002E-2</v>
      </c>
      <c r="D54" s="4">
        <v>0.13</v>
      </c>
      <c r="E54" s="4">
        <v>0.02</v>
      </c>
      <c r="F54" s="22">
        <f t="shared" si="8"/>
        <v>8.5000000000000034E-2</v>
      </c>
      <c r="G54" s="22">
        <f t="shared" si="9"/>
        <v>0.10500000000000002</v>
      </c>
      <c r="H54" s="22">
        <f t="shared" si="10"/>
        <v>0.15</v>
      </c>
      <c r="J54" s="27"/>
      <c r="M54" s="27"/>
      <c r="R54" s="38">
        <f>LOOKUP(S$2,' Beitragstabelle alt nur 2020 v'!B$5:D$5,' Beitragstabelle alt nur 2020 v'!B54:D54)+D54</f>
        <v>0.26</v>
      </c>
      <c r="S54" s="38">
        <f t="shared" si="11"/>
        <v>0</v>
      </c>
      <c r="T54" s="40">
        <f>+S54*'Daten Versicherter'!$D$82</f>
        <v>0</v>
      </c>
      <c r="U54" s="38">
        <f t="shared" si="6"/>
        <v>0</v>
      </c>
      <c r="V54" s="40">
        <f>+U54*'Daten Versicherter'!$D$82</f>
        <v>0</v>
      </c>
      <c r="W54" s="38">
        <f t="shared" si="7"/>
        <v>0</v>
      </c>
      <c r="X54" s="40">
        <f>+W54*'Daten Versicherter'!$D$82</f>
        <v>0</v>
      </c>
    </row>
    <row r="55" spans="1:24" x14ac:dyDescent="0.2">
      <c r="A55">
        <v>66</v>
      </c>
      <c r="B55" s="4">
        <v>8.5000000000000006E-2</v>
      </c>
      <c r="C55" s="4">
        <v>8.5000000000000006E-2</v>
      </c>
      <c r="D55" s="4">
        <f>+C55</f>
        <v>8.5000000000000006E-2</v>
      </c>
      <c r="E55" s="4">
        <v>0.01</v>
      </c>
      <c r="F55" s="22">
        <f t="shared" si="8"/>
        <v>9.5000000000000001E-2</v>
      </c>
      <c r="G55" s="22">
        <f t="shared" si="9"/>
        <v>9.5000000000000001E-2</v>
      </c>
      <c r="H55" s="22">
        <f t="shared" si="10"/>
        <v>9.5000000000000001E-2</v>
      </c>
      <c r="J55" s="27"/>
      <c r="M55" s="27"/>
      <c r="R55" s="38">
        <f>LOOKUP(S$2,' Beitragstabelle alt nur 2020 v'!B$5:D$5,' Beitragstabelle alt nur 2020 v'!B55:D55)+D55</f>
        <v>0.17</v>
      </c>
      <c r="S55" s="38">
        <f t="shared" si="11"/>
        <v>0</v>
      </c>
      <c r="T55" s="40">
        <f>+S55*'Daten Versicherter'!$D$82</f>
        <v>0</v>
      </c>
      <c r="U55" s="38">
        <f t="shared" si="6"/>
        <v>0</v>
      </c>
      <c r="V55" s="40">
        <f>+U55*'Daten Versicherter'!$D$82</f>
        <v>0</v>
      </c>
      <c r="W55" s="38">
        <f t="shared" si="7"/>
        <v>0</v>
      </c>
      <c r="X55" s="40">
        <f>+W55*'Daten Versicherter'!$D$82</f>
        <v>0</v>
      </c>
    </row>
    <row r="56" spans="1:24" x14ac:dyDescent="0.2">
      <c r="A56">
        <v>67</v>
      </c>
      <c r="B56" s="4">
        <f t="shared" ref="B56:D59" si="12">+B55</f>
        <v>8.5000000000000006E-2</v>
      </c>
      <c r="C56" s="4">
        <f t="shared" si="12"/>
        <v>8.5000000000000006E-2</v>
      </c>
      <c r="D56" s="4">
        <f t="shared" si="12"/>
        <v>8.5000000000000006E-2</v>
      </c>
      <c r="E56" s="4">
        <v>0.01</v>
      </c>
      <c r="F56" s="22">
        <f t="shared" si="8"/>
        <v>9.5000000000000001E-2</v>
      </c>
      <c r="G56" s="22">
        <f t="shared" si="9"/>
        <v>9.5000000000000001E-2</v>
      </c>
      <c r="H56" s="22">
        <f t="shared" si="10"/>
        <v>9.5000000000000001E-2</v>
      </c>
      <c r="J56" s="27"/>
      <c r="M56" s="27"/>
      <c r="R56" s="38">
        <f>LOOKUP(S$2,' Beitragstabelle alt nur 2020 v'!B$5:D$5,' Beitragstabelle alt nur 2020 v'!B56:D56)+D56</f>
        <v>0.17</v>
      </c>
      <c r="S56" s="38">
        <f t="shared" si="11"/>
        <v>0</v>
      </c>
      <c r="T56" s="40">
        <f>+S56*'Daten Versicherter'!$D$82</f>
        <v>0</v>
      </c>
      <c r="U56" s="38">
        <f t="shared" si="6"/>
        <v>0</v>
      </c>
      <c r="V56" s="40">
        <f>+U56*'Daten Versicherter'!$D$82</f>
        <v>0</v>
      </c>
      <c r="W56" s="38">
        <f t="shared" si="7"/>
        <v>0</v>
      </c>
      <c r="X56" s="40">
        <f>+W56*'Daten Versicherter'!$D$82</f>
        <v>0</v>
      </c>
    </row>
    <row r="57" spans="1:24" x14ac:dyDescent="0.2">
      <c r="A57">
        <v>68</v>
      </c>
      <c r="B57" s="4">
        <f t="shared" si="12"/>
        <v>8.5000000000000006E-2</v>
      </c>
      <c r="C57" s="4">
        <f t="shared" si="12"/>
        <v>8.5000000000000006E-2</v>
      </c>
      <c r="D57" s="4">
        <f t="shared" si="12"/>
        <v>8.5000000000000006E-2</v>
      </c>
      <c r="E57" s="4">
        <v>0.01</v>
      </c>
      <c r="F57" s="22">
        <f t="shared" si="8"/>
        <v>9.5000000000000001E-2</v>
      </c>
      <c r="G57" s="22">
        <f t="shared" si="9"/>
        <v>9.5000000000000001E-2</v>
      </c>
      <c r="H57" s="22">
        <f t="shared" si="10"/>
        <v>9.5000000000000001E-2</v>
      </c>
      <c r="J57" s="27"/>
      <c r="M57" s="27"/>
      <c r="R57" s="38">
        <f>LOOKUP(S$2,' Beitragstabelle alt nur 2020 v'!B$5:D$5,' Beitragstabelle alt nur 2020 v'!B57:D57)+D57</f>
        <v>0.17</v>
      </c>
      <c r="S57" s="38">
        <f t="shared" si="11"/>
        <v>0</v>
      </c>
      <c r="T57" s="40">
        <f>+S57*'Daten Versicherter'!$D$82</f>
        <v>0</v>
      </c>
      <c r="U57" s="38">
        <f t="shared" si="6"/>
        <v>0</v>
      </c>
      <c r="V57" s="40">
        <f>+U57*'Daten Versicherter'!$D$82</f>
        <v>0</v>
      </c>
      <c r="W57" s="38">
        <f t="shared" si="7"/>
        <v>0</v>
      </c>
      <c r="X57" s="40">
        <f>+W57*'Daten Versicherter'!$D$82</f>
        <v>0</v>
      </c>
    </row>
    <row r="58" spans="1:24" s="5" customFormat="1" x14ac:dyDescent="0.2">
      <c r="A58">
        <v>69</v>
      </c>
      <c r="B58" s="4">
        <f t="shared" si="12"/>
        <v>8.5000000000000006E-2</v>
      </c>
      <c r="C58" s="4">
        <f t="shared" si="12"/>
        <v>8.5000000000000006E-2</v>
      </c>
      <c r="D58" s="4">
        <f t="shared" si="12"/>
        <v>8.5000000000000006E-2</v>
      </c>
      <c r="E58" s="4">
        <v>0.01</v>
      </c>
      <c r="F58" s="22">
        <f t="shared" si="8"/>
        <v>9.5000000000000001E-2</v>
      </c>
      <c r="G58" s="22">
        <f t="shared" si="9"/>
        <v>9.5000000000000001E-2</v>
      </c>
      <c r="H58" s="22">
        <f t="shared" si="10"/>
        <v>9.5000000000000001E-2</v>
      </c>
      <c r="I58" s="27"/>
      <c r="J58" s="27"/>
      <c r="K58" s="25"/>
      <c r="L58" s="25"/>
      <c r="M58" s="27"/>
      <c r="N58" s="25"/>
      <c r="O58" s="25"/>
      <c r="P58" s="25"/>
      <c r="R58" s="38">
        <f>LOOKUP(S$2,' Beitragstabelle alt nur 2020 v'!B$5:D$5,' Beitragstabelle alt nur 2020 v'!B58:D58)+D58</f>
        <v>0.17</v>
      </c>
      <c r="S58" s="38">
        <f t="shared" si="11"/>
        <v>0</v>
      </c>
      <c r="T58" s="40">
        <f>+S58*'Daten Versicherter'!$D$82</f>
        <v>0</v>
      </c>
      <c r="U58" s="38">
        <f t="shared" si="6"/>
        <v>0</v>
      </c>
      <c r="V58" s="40">
        <f>+U58*'Daten Versicherter'!$D$82</f>
        <v>0</v>
      </c>
      <c r="W58" s="38">
        <f t="shared" si="7"/>
        <v>0</v>
      </c>
      <c r="X58" s="40">
        <f>+W58*'Daten Versicherter'!$D$82</f>
        <v>0</v>
      </c>
    </row>
    <row r="59" spans="1:24" x14ac:dyDescent="0.2">
      <c r="A59">
        <v>70</v>
      </c>
      <c r="B59" s="4">
        <f t="shared" si="12"/>
        <v>8.5000000000000006E-2</v>
      </c>
      <c r="C59" s="4">
        <f t="shared" si="12"/>
        <v>8.5000000000000006E-2</v>
      </c>
      <c r="D59" s="4">
        <f t="shared" si="12"/>
        <v>8.5000000000000006E-2</v>
      </c>
      <c r="E59" s="4">
        <v>0.01</v>
      </c>
      <c r="F59" s="22">
        <f t="shared" si="8"/>
        <v>9.5000000000000001E-2</v>
      </c>
      <c r="G59" s="22">
        <f t="shared" si="9"/>
        <v>9.5000000000000001E-2</v>
      </c>
      <c r="H59" s="22">
        <f t="shared" si="10"/>
        <v>9.5000000000000001E-2</v>
      </c>
      <c r="J59" s="27"/>
      <c r="M59" s="27"/>
      <c r="R59" s="38">
        <f>LOOKUP(S$2,' Beitragstabelle alt nur 2020 v'!B$5:D$5,' Beitragstabelle alt nur 2020 v'!B59:D59)+D59</f>
        <v>0.17</v>
      </c>
      <c r="S59" s="38">
        <f t="shared" si="11"/>
        <v>0</v>
      </c>
      <c r="T59" s="40">
        <f>+S59*'Daten Versicherter'!$D$82</f>
        <v>0</v>
      </c>
      <c r="U59" s="38">
        <f t="shared" si="6"/>
        <v>0</v>
      </c>
      <c r="V59" s="40">
        <f>+U59*'Daten Versicherter'!$D$82</f>
        <v>0</v>
      </c>
      <c r="W59" s="38">
        <f t="shared" si="7"/>
        <v>0</v>
      </c>
      <c r="X59" s="40">
        <f>+W59*'Daten Versicherter'!$D$82</f>
        <v>0</v>
      </c>
    </row>
    <row r="61" spans="1:24" x14ac:dyDescent="0.2">
      <c r="A61" t="s">
        <v>38</v>
      </c>
      <c r="B61" s="2">
        <f>+'Daten Versicherter'!B6-1</f>
        <v>33</v>
      </c>
    </row>
    <row r="62" spans="1:24" x14ac:dyDescent="0.2">
      <c r="A62" t="s">
        <v>39</v>
      </c>
    </row>
    <row r="63" spans="1:24" x14ac:dyDescent="0.2">
      <c r="A63" s="3" t="s">
        <v>46</v>
      </c>
      <c r="T63" s="40">
        <f>SUM(T6:T62)</f>
        <v>7562.7500000000009</v>
      </c>
      <c r="V63" s="40">
        <f>SUM(V6:V62)</f>
        <v>845</v>
      </c>
      <c r="X63" s="40">
        <f>SUM(X6:X62)</f>
        <v>3781.3750000000005</v>
      </c>
    </row>
  </sheetData>
  <sheetProtection selectLockedCells="1" selectUnlockedCells="1"/>
  <pageMargins left="0.70866141732283472" right="0.70866141732283472" top="0.78740157480314965" bottom="0.78740157480314965" header="0.31496062992125984" footer="0.31496062992125984"/>
  <pageSetup paperSize="9" orientation="portrait" verticalDpi="0" r:id="rId1"/>
  <headerFooter>
    <oddFooter>&amp;L&amp;8A. Häggi, MFB 2277; &amp;D&amp;C&amp;8- &amp;P -&amp;R&amp;8&amp;F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 Versicherter</vt:lpstr>
      <vt:lpstr>Beitragstabelle neu</vt:lpstr>
      <vt:lpstr> Beitragstabelle alt nur 2020 v</vt:lpstr>
      <vt:lpstr>'Daten Versicherter'!Druckbereich</vt:lpstr>
      <vt:lpstr>Liste_Plaine</vt:lpstr>
      <vt:lpstr>Standard</vt:lpstr>
    </vt:vector>
  </TitlesOfParts>
  <Company>Georg Fischer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Haeggi, Andreas</dc:creator>
  <cp:lastModifiedBy>Haeggi, Andreas</cp:lastModifiedBy>
  <cp:lastPrinted>2019-06-13T05:36:40Z</cp:lastPrinted>
  <dcterms:created xsi:type="dcterms:W3CDTF">2013-11-06T09:10:06Z</dcterms:created>
  <dcterms:modified xsi:type="dcterms:W3CDTF">2019-06-13T05:37:06Z</dcterms:modified>
</cp:coreProperties>
</file>